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5.xml" ContentType="application/vnd.openxmlformats-officedocument.drawingml.chart+xml"/>
  <Override PartName="/xl/drawings/drawing1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202301\〇インピーダンス法2021\予測計算シート\"/>
    </mc:Choice>
  </mc:AlternateContent>
  <workbookProtection workbookPassword="9701" lockStructure="1"/>
  <bookViews>
    <workbookView xWindow="90" yWindow="45" windowWidth="15480" windowHeight="10800" tabRatio="695"/>
  </bookViews>
  <sheets>
    <sheet name="INPUT" sheetId="6" r:id="rId1"/>
    <sheet name="Result_重量床衝撃音" sheetId="15" r:id="rId2"/>
    <sheet name="Result_軽量床衝撃音" sheetId="9" r:id="rId3"/>
    <sheet name="スラブ断面の例" sheetId="11" r:id="rId4"/>
    <sheet name="Result_重量床衝撃音（範囲設定なし）" sheetId="14" state="hidden" r:id="rId5"/>
    <sheet name="データ整理用 (2)" sheetId="16" state="hidden" r:id="rId6"/>
    <sheet name="Result_重量床衝撃音 (31.5Hz)" sheetId="12" state="hidden" r:id="rId7"/>
    <sheet name="Calculation" sheetId="2" state="hidden" r:id="rId8"/>
    <sheet name="データ整理用" sheetId="13" state="hidden" r:id="rId9"/>
    <sheet name="GRAPH" sheetId="10" state="hidden" r:id="rId10"/>
    <sheet name="断面性能算定シート(280)" sheetId="8" state="hidden" r:id="rId11"/>
  </sheets>
  <definedNames>
    <definedName name="_xlnm.Print_Area" localSheetId="0">INPUT!$A$1:$AI$56</definedName>
    <definedName name="_xlnm.Print_Area" localSheetId="2">Result_軽量床衝撃音!$A$1:$AO$46</definedName>
    <definedName name="_xlnm.Print_Area" localSheetId="1">Result_重量床衝撃音!$A$1:$AG$46</definedName>
    <definedName name="_xlnm.Print_Area" localSheetId="6">'Result_重量床衝撃音 (31.5Hz)'!$A$1:$AI$46</definedName>
    <definedName name="_xlnm.Print_Area" localSheetId="4">'Result_重量床衝撃音（範囲設定なし）'!$A$1:$AG$46</definedName>
  </definedNames>
  <calcPr calcId="152511"/>
</workbook>
</file>

<file path=xl/calcChain.xml><?xml version="1.0" encoding="utf-8"?>
<calcChain xmlns="http://schemas.openxmlformats.org/spreadsheetml/2006/main">
  <c r="B71" i="2" l="1"/>
  <c r="M67" i="2" s="1"/>
  <c r="B70" i="2"/>
  <c r="B69" i="2"/>
  <c r="F68" i="2" s="1"/>
  <c r="B68" i="2"/>
  <c r="P69" i="2" s="1"/>
  <c r="S72" i="2" s="1"/>
  <c r="B67" i="2"/>
  <c r="B60" i="2"/>
  <c r="B59" i="2"/>
  <c r="B58" i="2"/>
  <c r="B57" i="2"/>
  <c r="B56" i="2"/>
  <c r="P73" i="2"/>
  <c r="G82" i="2"/>
  <c r="F70" i="2" l="1"/>
  <c r="F71" i="2" s="1"/>
  <c r="P67" i="2"/>
  <c r="S71" i="2" s="1"/>
  <c r="F67" i="2"/>
  <c r="M68" i="2"/>
  <c r="L70" i="2" s="1"/>
  <c r="P56" i="2"/>
  <c r="S60" i="2" s="1"/>
  <c r="P68" i="2"/>
  <c r="S73" i="2"/>
  <c r="D75" i="2"/>
  <c r="D74" i="2"/>
  <c r="D73" i="2"/>
  <c r="D72" i="2"/>
  <c r="D64" i="2"/>
  <c r="D63" i="2"/>
  <c r="D62" i="2"/>
  <c r="D61" i="2"/>
  <c r="D44" i="2"/>
  <c r="D43" i="2"/>
  <c r="D42" i="2"/>
  <c r="D41" i="2"/>
  <c r="D36" i="2"/>
  <c r="D35" i="2"/>
  <c r="D34" i="2"/>
  <c r="D33" i="2"/>
  <c r="D24" i="2"/>
  <c r="D23" i="2"/>
  <c r="D25" i="2"/>
  <c r="D22" i="2"/>
  <c r="P70" i="2" l="1"/>
  <c r="S68" i="2"/>
  <c r="S67" i="2"/>
  <c r="F69" i="2"/>
  <c r="J76" i="2" s="1"/>
  <c r="D3" i="16"/>
  <c r="C3" i="16"/>
  <c r="S69" i="2" l="1"/>
  <c r="S75" i="2" s="1"/>
  <c r="S76" i="2" s="1"/>
  <c r="J74" i="2" s="1"/>
  <c r="D84" i="2" s="1"/>
  <c r="I67" i="2"/>
  <c r="I69" i="2" s="1"/>
  <c r="B12" i="14"/>
  <c r="I68" i="2" l="1"/>
  <c r="I70" i="2" s="1"/>
  <c r="J75" i="2" s="1"/>
  <c r="O19" i="6"/>
  <c r="B12" i="15" l="1"/>
  <c r="AB45" i="15" l="1"/>
  <c r="E12" i="15"/>
  <c r="I3" i="16" s="1"/>
  <c r="E11" i="15"/>
  <c r="G3" i="16" s="1"/>
  <c r="J10" i="15"/>
  <c r="F10" i="15"/>
  <c r="J8" i="15"/>
  <c r="F7" i="15"/>
  <c r="F6" i="15"/>
  <c r="F5" i="15"/>
  <c r="P2" i="15"/>
  <c r="P58" i="2" l="1"/>
  <c r="P62" i="2"/>
  <c r="S62" i="2" l="1"/>
  <c r="S61" i="2"/>
  <c r="S57" i="2"/>
  <c r="P57" i="2"/>
  <c r="S56" i="2" s="1"/>
  <c r="F10" i="14"/>
  <c r="S58" i="2" l="1"/>
  <c r="F56" i="2"/>
  <c r="F57" i="2"/>
  <c r="F59" i="2"/>
  <c r="M57" i="2"/>
  <c r="M56" i="2"/>
  <c r="L59" i="2" s="1"/>
  <c r="D65" i="2"/>
  <c r="N48" i="6"/>
  <c r="N47" i="6"/>
  <c r="N46" i="6"/>
  <c r="N45" i="6"/>
  <c r="N41" i="6"/>
  <c r="N40" i="6"/>
  <c r="N39" i="6"/>
  <c r="N38" i="6"/>
  <c r="F58" i="2" l="1"/>
  <c r="J65" i="2" s="1"/>
  <c r="G83" i="2" s="1"/>
  <c r="F60" i="2"/>
  <c r="P59" i="2"/>
  <c r="I56" i="2" l="1"/>
  <c r="I58" i="2" s="1"/>
  <c r="S64" i="2"/>
  <c r="S65" i="2" s="1"/>
  <c r="J63" i="2" s="1"/>
  <c r="D83" i="2" s="1"/>
  <c r="J86" i="2" s="1"/>
  <c r="Q13" i="2"/>
  <c r="D8" i="14" s="1"/>
  <c r="I57" i="2" l="1"/>
  <c r="I59" i="2" s="1"/>
  <c r="J64" i="2" s="1"/>
  <c r="J83" i="2" s="1"/>
  <c r="D8" i="15"/>
  <c r="N145" i="2"/>
  <c r="M145" i="2"/>
  <c r="N144" i="2"/>
  <c r="M144" i="2"/>
  <c r="N143" i="2"/>
  <c r="M143" i="2"/>
  <c r="N142" i="2"/>
  <c r="M142" i="2"/>
  <c r="N141" i="2"/>
  <c r="M141" i="2"/>
  <c r="B112" i="2" l="1"/>
  <c r="A112" i="2"/>
  <c r="B111" i="2"/>
  <c r="A111" i="2"/>
  <c r="B110" i="2"/>
  <c r="A110" i="2"/>
  <c r="B109" i="2"/>
  <c r="A109" i="2"/>
  <c r="B108" i="2"/>
  <c r="A108" i="2"/>
  <c r="AB45" i="14" l="1"/>
  <c r="AJ45" i="9"/>
  <c r="H21" i="6" l="1"/>
  <c r="O22" i="6" l="1"/>
  <c r="F7" i="14"/>
  <c r="F6" i="14"/>
  <c r="F5" i="14"/>
  <c r="E12" i="14"/>
  <c r="E11" i="14"/>
  <c r="J10" i="14"/>
  <c r="J8" i="14"/>
  <c r="P2" i="14"/>
  <c r="B235" i="2"/>
  <c r="B240" i="2"/>
  <c r="W205" i="2"/>
  <c r="H209" i="2"/>
  <c r="Q209" i="2"/>
  <c r="H210" i="2"/>
  <c r="Q210" i="2"/>
  <c r="H211" i="2"/>
  <c r="Q211" i="2"/>
  <c r="H212" i="2"/>
  <c r="Q212" i="2"/>
  <c r="H213" i="2"/>
  <c r="Q213" i="2"/>
  <c r="D141" i="2"/>
  <c r="I141" i="2"/>
  <c r="D142" i="2"/>
  <c r="I142" i="2"/>
  <c r="D143" i="2"/>
  <c r="I143" i="2"/>
  <c r="D144" i="2"/>
  <c r="I144" i="2"/>
  <c r="D145" i="2"/>
  <c r="I145" i="2"/>
  <c r="A99" i="2"/>
  <c r="C99" i="2" s="1"/>
  <c r="B99" i="2"/>
  <c r="D99" i="2" s="1"/>
  <c r="A100" i="2"/>
  <c r="C100" i="2" s="1"/>
  <c r="B100" i="2"/>
  <c r="D100" i="2" s="1"/>
  <c r="A101" i="2"/>
  <c r="C101" i="2" s="1"/>
  <c r="B101" i="2"/>
  <c r="D101" i="2" s="1"/>
  <c r="A102" i="2"/>
  <c r="C102" i="2" s="1"/>
  <c r="B102" i="2"/>
  <c r="D102" i="2" s="1"/>
  <c r="A103" i="2"/>
  <c r="C103" i="2" s="1"/>
  <c r="B103" i="2"/>
  <c r="D103" i="2" s="1"/>
  <c r="C108" i="2"/>
  <c r="D108" i="2"/>
  <c r="F108" i="2"/>
  <c r="G108" i="2"/>
  <c r="C109" i="2"/>
  <c r="D109" i="2"/>
  <c r="F109" i="2"/>
  <c r="G109" i="2"/>
  <c r="C110" i="2"/>
  <c r="D110" i="2"/>
  <c r="F110" i="2"/>
  <c r="G110" i="2"/>
  <c r="C111" i="2"/>
  <c r="D111" i="2"/>
  <c r="F111" i="2"/>
  <c r="G111" i="2"/>
  <c r="C112" i="2"/>
  <c r="D112" i="2"/>
  <c r="F112" i="2"/>
  <c r="G112" i="2"/>
  <c r="A150" i="2"/>
  <c r="B150" i="2"/>
  <c r="H150" i="2" s="1"/>
  <c r="A156" i="2"/>
  <c r="B156" i="2"/>
  <c r="H156" i="2" s="1"/>
  <c r="L9" i="12" l="1"/>
  <c r="J9" i="15"/>
  <c r="L11" i="12"/>
  <c r="J11" i="15"/>
  <c r="J9" i="14"/>
  <c r="N9" i="9" s="1"/>
  <c r="J11" i="14"/>
  <c r="N11" i="9" s="1"/>
  <c r="E103" i="2"/>
  <c r="E100" i="2"/>
  <c r="E99" i="2"/>
  <c r="E101" i="2"/>
  <c r="E102" i="2"/>
  <c r="E112" i="2"/>
  <c r="E108" i="2"/>
  <c r="H111" i="2"/>
  <c r="E110" i="2"/>
  <c r="E109" i="2"/>
  <c r="E111" i="2"/>
  <c r="H108" i="2"/>
  <c r="H109" i="2"/>
  <c r="H110" i="2"/>
  <c r="H112" i="2"/>
  <c r="B113" i="2"/>
  <c r="M150" i="2"/>
  <c r="M156" i="2"/>
  <c r="F99" i="2" l="1"/>
  <c r="E113" i="2"/>
  <c r="D113" i="2" s="1"/>
  <c r="H113" i="2"/>
  <c r="G113" i="2" s="1"/>
  <c r="R150" i="2"/>
  <c r="W150" i="2" s="1"/>
  <c r="AB150" i="2" s="1"/>
  <c r="AG150" i="2"/>
  <c r="AL150" i="2" s="1"/>
  <c r="R156" i="2"/>
  <c r="W156" i="2" s="1"/>
  <c r="AB156" i="2" s="1"/>
  <c r="AG156" i="2"/>
  <c r="AL156" i="2" s="1"/>
  <c r="B133" i="2" l="1"/>
  <c r="B132" i="2"/>
  <c r="B131" i="2"/>
  <c r="B130" i="2"/>
  <c r="B129" i="2"/>
  <c r="B127" i="2"/>
  <c r="B126" i="2"/>
  <c r="B125" i="2"/>
  <c r="B124" i="2"/>
  <c r="B123" i="2"/>
  <c r="B31" i="6" l="1"/>
  <c r="AD45" i="12" l="1"/>
  <c r="E12" i="12"/>
  <c r="I3" i="13" s="1"/>
  <c r="E11" i="12"/>
  <c r="G3" i="13" s="1"/>
  <c r="L10" i="12"/>
  <c r="C3" i="13" s="1"/>
  <c r="L8" i="12"/>
  <c r="B3" i="13" s="1"/>
  <c r="F6" i="12"/>
  <c r="F5" i="12"/>
  <c r="R2" i="12"/>
  <c r="I13" i="2" l="1"/>
  <c r="D78" i="2" s="1"/>
  <c r="AA58" i="2"/>
  <c r="I9" i="8" s="1"/>
  <c r="AA56" i="2"/>
  <c r="AA57" i="2"/>
  <c r="F9" i="8" s="1"/>
  <c r="AA60" i="2"/>
  <c r="B9" i="8" s="1"/>
  <c r="B58" i="8" s="1"/>
  <c r="AA59" i="2"/>
  <c r="C9" i="8" s="1"/>
  <c r="F7" i="12"/>
  <c r="B19" i="2"/>
  <c r="B17" i="2"/>
  <c r="B18" i="2"/>
  <c r="B20" i="2"/>
  <c r="B21" i="2"/>
  <c r="C175" i="2"/>
  <c r="C176" i="2"/>
  <c r="I14" i="2"/>
  <c r="G78" i="2" s="1"/>
  <c r="N10" i="9"/>
  <c r="N8" i="9"/>
  <c r="E12" i="9"/>
  <c r="E11" i="9"/>
  <c r="G6" i="9"/>
  <c r="G5" i="9"/>
  <c r="B49" i="2"/>
  <c r="B50" i="2"/>
  <c r="I50" i="2" s="1"/>
  <c r="B51" i="2"/>
  <c r="B29" i="2"/>
  <c r="B30" i="2"/>
  <c r="B31" i="2"/>
  <c r="B32" i="2"/>
  <c r="AC62" i="2"/>
  <c r="AI65" i="2" s="1"/>
  <c r="X2" i="9"/>
  <c r="I15" i="2"/>
  <c r="J78" i="2" s="1"/>
  <c r="AB1" i="6"/>
  <c r="L230" i="2"/>
  <c r="M230" i="2" s="1"/>
  <c r="M232" i="2" s="1"/>
  <c r="L229" i="2"/>
  <c r="M229" i="2" s="1"/>
  <c r="L232" i="2" s="1"/>
  <c r="B48" i="2"/>
  <c r="F48" i="2" s="1"/>
  <c r="B40" i="2"/>
  <c r="B39" i="2"/>
  <c r="B28" i="2"/>
  <c r="F29" i="2" s="1"/>
  <c r="T185" i="2"/>
  <c r="S185" i="2"/>
  <c r="G8" i="2"/>
  <c r="AC61" i="2"/>
  <c r="J8" i="2"/>
  <c r="I8" i="2"/>
  <c r="H8" i="2"/>
  <c r="D52" i="2"/>
  <c r="J54" i="2" s="1"/>
  <c r="K8" i="2"/>
  <c r="L8" i="2"/>
  <c r="M8" i="2"/>
  <c r="H4" i="2"/>
  <c r="I4" i="2"/>
  <c r="J4" i="2"/>
  <c r="K4" i="2"/>
  <c r="L4" i="2"/>
  <c r="M4" i="2"/>
  <c r="G4" i="2"/>
  <c r="E4" i="10"/>
  <c r="F4" i="10"/>
  <c r="G4" i="10"/>
  <c r="H4" i="10"/>
  <c r="I4" i="10"/>
  <c r="J4" i="10"/>
  <c r="K4" i="10"/>
  <c r="E5" i="10"/>
  <c r="F5" i="10"/>
  <c r="G5" i="10"/>
  <c r="H5" i="10"/>
  <c r="I5" i="10"/>
  <c r="J5" i="10"/>
  <c r="K5" i="10"/>
  <c r="E6" i="10"/>
  <c r="F6" i="10"/>
  <c r="G6" i="10"/>
  <c r="H6" i="10"/>
  <c r="I6" i="10"/>
  <c r="J6" i="10"/>
  <c r="K6" i="10"/>
  <c r="E7" i="10"/>
  <c r="F7" i="10"/>
  <c r="G7" i="10"/>
  <c r="H7" i="10"/>
  <c r="I7" i="10"/>
  <c r="J7" i="10"/>
  <c r="K7" i="10"/>
  <c r="E8" i="10"/>
  <c r="F8" i="10"/>
  <c r="G8" i="10"/>
  <c r="H8" i="10"/>
  <c r="I8" i="10"/>
  <c r="J8" i="10"/>
  <c r="K8" i="10"/>
  <c r="E9" i="10"/>
  <c r="F9" i="10"/>
  <c r="G9" i="10"/>
  <c r="H9" i="10"/>
  <c r="I9" i="10"/>
  <c r="J9" i="10"/>
  <c r="K9" i="10"/>
  <c r="E10" i="10"/>
  <c r="F10" i="10"/>
  <c r="G10" i="10"/>
  <c r="H10" i="10"/>
  <c r="I10" i="10"/>
  <c r="J10" i="10"/>
  <c r="K10" i="10"/>
  <c r="E11" i="10"/>
  <c r="F11" i="10"/>
  <c r="G11" i="10"/>
  <c r="H11" i="10"/>
  <c r="I11" i="10"/>
  <c r="J11" i="10"/>
  <c r="K11" i="10"/>
  <c r="E12" i="10"/>
  <c r="F12" i="10"/>
  <c r="G12" i="10"/>
  <c r="H12" i="10"/>
  <c r="I12" i="10"/>
  <c r="J12" i="10"/>
  <c r="K12" i="10"/>
  <c r="E13" i="10"/>
  <c r="F13" i="10"/>
  <c r="G13" i="10"/>
  <c r="H13" i="10"/>
  <c r="I13" i="10"/>
  <c r="J13" i="10"/>
  <c r="K13" i="10"/>
  <c r="K3" i="10"/>
  <c r="J3" i="10"/>
  <c r="I3" i="10"/>
  <c r="H3" i="10"/>
  <c r="G3" i="10"/>
  <c r="F3" i="10"/>
  <c r="E3" i="10"/>
  <c r="A58" i="8"/>
  <c r="D58" i="8"/>
  <c r="E58" i="8"/>
  <c r="AC63" i="2" l="1"/>
  <c r="I13" i="8" s="1"/>
  <c r="AM12" i="8" s="1"/>
  <c r="AC64" i="2"/>
  <c r="I12" i="8" s="1"/>
  <c r="AM13" i="8" s="1"/>
  <c r="F17" i="2"/>
  <c r="D53" i="2"/>
  <c r="J53" i="2" s="1"/>
  <c r="J82" i="2" s="1"/>
  <c r="G7" i="9"/>
  <c r="G9" i="8"/>
  <c r="H173" i="2"/>
  <c r="D13" i="15" s="1"/>
  <c r="J3" i="16" s="1"/>
  <c r="M17" i="2"/>
  <c r="I49" i="2"/>
  <c r="F49" i="2"/>
  <c r="F51" i="2" s="1"/>
  <c r="AC65" i="2"/>
  <c r="J44" i="2"/>
  <c r="D81" i="2" s="1"/>
  <c r="L30" i="2"/>
  <c r="L50" i="2"/>
  <c r="M18" i="2"/>
  <c r="M9" i="8"/>
  <c r="I58" i="8"/>
  <c r="M58" i="8" s="1"/>
  <c r="G84" i="2"/>
  <c r="D45" i="2"/>
  <c r="D54" i="2"/>
  <c r="J46" i="2"/>
  <c r="G81" i="2" s="1"/>
  <c r="F28" i="2"/>
  <c r="F30" i="2" s="1"/>
  <c r="F31" i="2" s="1"/>
  <c r="J37" i="2" s="1"/>
  <c r="G80" i="2" s="1"/>
  <c r="F20" i="2"/>
  <c r="F21" i="2" s="1"/>
  <c r="H9" i="8"/>
  <c r="P9" i="8" s="1"/>
  <c r="K9" i="8"/>
  <c r="C58" i="8"/>
  <c r="L9" i="8"/>
  <c r="M28" i="2"/>
  <c r="B30" i="8"/>
  <c r="D30" i="8"/>
  <c r="F58" i="8" s="1"/>
  <c r="N58" i="8" s="1"/>
  <c r="D37" i="2"/>
  <c r="F39" i="2"/>
  <c r="D26" i="2"/>
  <c r="F18" i="2"/>
  <c r="AI64" i="2" l="1"/>
  <c r="D13" i="12"/>
  <c r="J3" i="13" s="1"/>
  <c r="D13" i="14"/>
  <c r="B3" i="16" s="1"/>
  <c r="L20" i="2"/>
  <c r="H202" i="2"/>
  <c r="D202" i="2"/>
  <c r="F202" i="2"/>
  <c r="J202" i="2"/>
  <c r="D13" i="9"/>
  <c r="L202" i="2"/>
  <c r="F50" i="2"/>
  <c r="I48" i="2" s="1"/>
  <c r="I51" i="2" s="1"/>
  <c r="J52" i="2" s="1"/>
  <c r="F32" i="2"/>
  <c r="I28" i="2" s="1"/>
  <c r="I30" i="2" s="1"/>
  <c r="D76" i="2"/>
  <c r="Q9" i="8"/>
  <c r="U9" i="8" s="1"/>
  <c r="J9" i="8"/>
  <c r="B34" i="8" s="1"/>
  <c r="H58" i="8"/>
  <c r="J58" i="8" s="1"/>
  <c r="J84" i="2"/>
  <c r="L58" i="8"/>
  <c r="R58" i="8" s="1"/>
  <c r="V58" i="8" s="1"/>
  <c r="K58" i="8"/>
  <c r="S58" i="8" s="1"/>
  <c r="W58" i="8" s="1"/>
  <c r="X9" i="8"/>
  <c r="T9" i="8"/>
  <c r="AH9" i="8"/>
  <c r="F19" i="2"/>
  <c r="J26" i="2" s="1"/>
  <c r="G79" i="2" s="1"/>
  <c r="S9" i="8"/>
  <c r="N9" i="8"/>
  <c r="R9" i="8" s="1"/>
  <c r="V9" i="8" s="1"/>
  <c r="I40" i="2"/>
  <c r="I39" i="2"/>
  <c r="D82" i="2" l="1"/>
  <c r="W9" i="8"/>
  <c r="Y9" i="8" s="1"/>
  <c r="O58" i="8"/>
  <c r="Q58" i="8" s="1"/>
  <c r="AC58" i="8" s="1"/>
  <c r="Z58" i="8" s="1"/>
  <c r="F40" i="2"/>
  <c r="J45" i="2" s="1"/>
  <c r="J81" i="2" s="1"/>
  <c r="H34" i="8"/>
  <c r="I17" i="2"/>
  <c r="I18" i="2" s="1"/>
  <c r="J24" i="2" s="1"/>
  <c r="AC9" i="8"/>
  <c r="Z9" i="8" s="1"/>
  <c r="I29" i="2"/>
  <c r="I31" i="2" s="1"/>
  <c r="J35" i="2" s="1"/>
  <c r="D80" i="2" s="1"/>
  <c r="I19" i="2" l="1"/>
  <c r="I20" i="2" s="1"/>
  <c r="J25" i="2" s="1"/>
  <c r="J79" i="2" s="1"/>
  <c r="J36" i="2"/>
  <c r="J80" i="2" s="1"/>
  <c r="U58" i="8"/>
  <c r="Y58" i="8" s="1"/>
  <c r="AB58" i="8" s="1"/>
  <c r="AA58" i="8" s="1"/>
  <c r="AE58" i="8" s="1"/>
  <c r="D38" i="8"/>
  <c r="B38" i="8"/>
  <c r="AB9" i="8"/>
  <c r="AG9" i="8" s="1"/>
  <c r="D79" i="2"/>
  <c r="AF9" i="8" l="1"/>
  <c r="AD9" i="8"/>
  <c r="AF58" i="8"/>
  <c r="AD58" i="8"/>
  <c r="B39" i="8"/>
  <c r="E39" i="8"/>
  <c r="AJ9" i="8"/>
  <c r="AI9" i="8"/>
  <c r="AE9" i="8"/>
  <c r="AA9" i="8"/>
  <c r="AK58" i="8" l="1"/>
  <c r="E74" i="8" s="1"/>
  <c r="G74" i="8" s="1"/>
  <c r="AK10" i="8"/>
  <c r="E45" i="8" s="1"/>
  <c r="G45" i="8" s="1"/>
  <c r="D40" i="8"/>
  <c r="B40" i="8"/>
  <c r="AK9" i="8"/>
  <c r="B44" i="8" s="1"/>
  <c r="AM58" i="8" l="1"/>
  <c r="B45" i="8"/>
  <c r="AL58" i="8"/>
  <c r="B74" i="8"/>
  <c r="AM9" i="8"/>
  <c r="AL9" i="8"/>
  <c r="E44" i="8"/>
  <c r="AC44" i="8" s="1"/>
  <c r="AL44" i="8" s="1"/>
  <c r="B79" i="8"/>
  <c r="H79" i="8"/>
  <c r="I79" i="8" s="1"/>
  <c r="AI63" i="2" l="1"/>
  <c r="Z44" i="8"/>
  <c r="G44" i="8"/>
  <c r="Y207" i="2" l="1"/>
  <c r="Y206" i="2"/>
  <c r="H49" i="8"/>
  <c r="I49" i="8" s="1"/>
  <c r="B49" i="8"/>
  <c r="G26" i="6" l="1"/>
  <c r="M29" i="6"/>
  <c r="M27" i="6" l="1"/>
  <c r="M30" i="6"/>
  <c r="G30" i="6"/>
  <c r="G28" i="6"/>
  <c r="M26" i="6"/>
  <c r="G27" i="6"/>
  <c r="G29" i="6"/>
  <c r="M28" i="6"/>
  <c r="F32" i="12" l="1"/>
  <c r="F33" i="12" s="1"/>
  <c r="F32" i="14" l="1"/>
  <c r="F33" i="14" s="1"/>
  <c r="J32" i="12"/>
  <c r="J33" i="12" s="1"/>
  <c r="L32" i="14"/>
  <c r="L33" i="14" s="1"/>
  <c r="J32" i="14"/>
  <c r="J33" i="14" s="1"/>
  <c r="N32" i="12" l="1"/>
  <c r="N33" i="12" s="1"/>
  <c r="L32" i="12"/>
  <c r="L33" i="12" s="1"/>
  <c r="H32" i="12"/>
  <c r="H33" i="12" s="1"/>
  <c r="H32" i="14"/>
  <c r="H33" i="14" s="1"/>
  <c r="C259" i="2" l="1"/>
  <c r="D259" i="2" s="1"/>
  <c r="E259" i="2" s="1"/>
  <c r="F259" i="2" s="1"/>
  <c r="E18" i="6" l="1"/>
  <c r="D8" i="12"/>
  <c r="E16" i="6"/>
  <c r="D8" i="9"/>
  <c r="E19" i="6"/>
  <c r="A15" i="6"/>
  <c r="A19" i="6"/>
  <c r="E17" i="6"/>
  <c r="D3" i="13"/>
  <c r="A16" i="6"/>
  <c r="A17" i="6"/>
  <c r="E15" i="6"/>
  <c r="A18" i="6"/>
  <c r="E85" i="2"/>
  <c r="J88" i="2" l="1"/>
  <c r="J87" i="2"/>
  <c r="C86" i="2"/>
  <c r="G85" i="2"/>
  <c r="E90" i="2" l="1"/>
  <c r="E91" i="2" s="1"/>
  <c r="D9" i="9"/>
  <c r="D10" i="9" s="1"/>
  <c r="M18" i="9" s="1"/>
  <c r="D9" i="15"/>
  <c r="D10" i="15" s="1"/>
  <c r="F3" i="16" s="1"/>
  <c r="D9" i="14"/>
  <c r="D9" i="12"/>
  <c r="I264" i="2"/>
  <c r="L222" i="2"/>
  <c r="H220" i="2"/>
  <c r="B265" i="2" s="1"/>
  <c r="G256" i="2"/>
  <c r="H256" i="2" s="1"/>
  <c r="I256" i="2" s="1"/>
  <c r="J256" i="2" s="1"/>
  <c r="K256" i="2" s="1"/>
  <c r="L256" i="2" s="1"/>
  <c r="M256" i="2" s="1"/>
  <c r="H175" i="2"/>
  <c r="L175" i="2" s="1"/>
  <c r="H94" i="2"/>
  <c r="D10" i="14" l="1"/>
  <c r="F19" i="14" s="1"/>
  <c r="H19" i="14" s="1"/>
  <c r="J19" i="14" s="1"/>
  <c r="L19" i="14" s="1"/>
  <c r="E3" i="16"/>
  <c r="P18" i="9"/>
  <c r="P21" i="9"/>
  <c r="G18" i="9"/>
  <c r="M20" i="9"/>
  <c r="G20" i="9"/>
  <c r="J20" i="9"/>
  <c r="P20" i="9"/>
  <c r="S18" i="9"/>
  <c r="S20" i="9"/>
  <c r="J18" i="9"/>
  <c r="G19" i="9"/>
  <c r="J19" i="9" s="1"/>
  <c r="M19" i="9" s="1"/>
  <c r="P19" i="9" s="1"/>
  <c r="S19" i="9" s="1"/>
  <c r="S21" i="9"/>
  <c r="J22" i="9"/>
  <c r="M22" i="9"/>
  <c r="P22" i="9"/>
  <c r="G22" i="9"/>
  <c r="S22" i="9"/>
  <c r="J97" i="2"/>
  <c r="L97" i="2"/>
  <c r="K97" i="2"/>
  <c r="D97" i="2"/>
  <c r="I266" i="2"/>
  <c r="G97" i="2"/>
  <c r="H97" i="2"/>
  <c r="I97" i="2"/>
  <c r="F97" i="2"/>
  <c r="E97" i="2"/>
  <c r="D265" i="2"/>
  <c r="C265" i="2"/>
  <c r="H176" i="2"/>
  <c r="L176" i="2" s="1"/>
  <c r="J226" i="2"/>
  <c r="I233" i="2" s="1"/>
  <c r="J228" i="2"/>
  <c r="K233" i="2" s="1"/>
  <c r="J230" i="2"/>
  <c r="M233" i="2" s="1"/>
  <c r="J229" i="2"/>
  <c r="L233" i="2" s="1"/>
  <c r="J227" i="2"/>
  <c r="J233" i="2" s="1"/>
  <c r="J225" i="2"/>
  <c r="H233" i="2" s="1"/>
  <c r="E3" i="13"/>
  <c r="D10" i="12"/>
  <c r="J176" i="2" l="1"/>
  <c r="O176" i="2" s="1"/>
  <c r="M176" i="2"/>
  <c r="D14" i="15"/>
  <c r="K3" i="16" s="1"/>
  <c r="D14" i="12"/>
  <c r="D14" i="9"/>
  <c r="D14" i="14"/>
  <c r="G129" i="2"/>
  <c r="C157" i="2" s="1"/>
  <c r="G125" i="2"/>
  <c r="C153" i="2" s="1"/>
  <c r="G126" i="2"/>
  <c r="C154" i="2" s="1"/>
  <c r="G132" i="2"/>
  <c r="C160" i="2" s="1"/>
  <c r="G127" i="2"/>
  <c r="C155" i="2" s="1"/>
  <c r="G124" i="2"/>
  <c r="C152" i="2" s="1"/>
  <c r="G123" i="2"/>
  <c r="C151" i="2" s="1"/>
  <c r="G130" i="2"/>
  <c r="C158" i="2" s="1"/>
  <c r="G131" i="2"/>
  <c r="C159" i="2" s="1"/>
  <c r="G133" i="2"/>
  <c r="C161" i="2" s="1"/>
  <c r="M126" i="2"/>
  <c r="F154" i="2" s="1"/>
  <c r="M124" i="2"/>
  <c r="F152" i="2" s="1"/>
  <c r="M125" i="2"/>
  <c r="F153" i="2" s="1"/>
  <c r="M130" i="2"/>
  <c r="F158" i="2" s="1"/>
  <c r="M127" i="2"/>
  <c r="F155" i="2" s="1"/>
  <c r="M123" i="2"/>
  <c r="F151" i="2" s="1"/>
  <c r="M133" i="2"/>
  <c r="F161" i="2" s="1"/>
  <c r="M129" i="2"/>
  <c r="F157" i="2" s="1"/>
  <c r="M131" i="2"/>
  <c r="F159" i="2" s="1"/>
  <c r="M132" i="2"/>
  <c r="F160" i="2" s="1"/>
  <c r="K131" i="2"/>
  <c r="E159" i="2" s="1"/>
  <c r="K126" i="2"/>
  <c r="E154" i="2" s="1"/>
  <c r="K124" i="2"/>
  <c r="E152" i="2" s="1"/>
  <c r="K125" i="2"/>
  <c r="E153" i="2" s="1"/>
  <c r="K133" i="2"/>
  <c r="E161" i="2" s="1"/>
  <c r="K129" i="2"/>
  <c r="E157" i="2" s="1"/>
  <c r="K123" i="2"/>
  <c r="E151" i="2" s="1"/>
  <c r="K132" i="2"/>
  <c r="E160" i="2" s="1"/>
  <c r="K127" i="2"/>
  <c r="E155" i="2" s="1"/>
  <c r="K130" i="2"/>
  <c r="E158" i="2" s="1"/>
  <c r="I126" i="2"/>
  <c r="D154" i="2" s="1"/>
  <c r="I132" i="2"/>
  <c r="D160" i="2" s="1"/>
  <c r="I123" i="2"/>
  <c r="D151" i="2" s="1"/>
  <c r="I131" i="2"/>
  <c r="D159" i="2" s="1"/>
  <c r="I133" i="2"/>
  <c r="D161" i="2" s="1"/>
  <c r="I129" i="2"/>
  <c r="D157" i="2" s="1"/>
  <c r="I127" i="2"/>
  <c r="D155" i="2" s="1"/>
  <c r="I130" i="2"/>
  <c r="D158" i="2" s="1"/>
  <c r="I125" i="2"/>
  <c r="D153" i="2" s="1"/>
  <c r="I124" i="2"/>
  <c r="D152" i="2" s="1"/>
  <c r="E123" i="2"/>
  <c r="B151" i="2" s="1"/>
  <c r="E132" i="2"/>
  <c r="B160" i="2" s="1"/>
  <c r="E127" i="2"/>
  <c r="B155" i="2" s="1"/>
  <c r="E131" i="2"/>
  <c r="B159" i="2" s="1"/>
  <c r="E124" i="2"/>
  <c r="B152" i="2" s="1"/>
  <c r="E125" i="2"/>
  <c r="B153" i="2" s="1"/>
  <c r="E126" i="2"/>
  <c r="B154" i="2" s="1"/>
  <c r="E133" i="2"/>
  <c r="B161" i="2" s="1"/>
  <c r="E129" i="2"/>
  <c r="B157" i="2" s="1"/>
  <c r="E130" i="2"/>
  <c r="B158" i="2" s="1"/>
  <c r="M175" i="2"/>
  <c r="J175" i="2" s="1"/>
  <c r="G649" i="2"/>
  <c r="G479" i="2"/>
  <c r="B437" i="2"/>
  <c r="G367" i="2"/>
  <c r="G500" i="2"/>
  <c r="G742" i="2"/>
  <c r="B521" i="2"/>
  <c r="B630" i="2"/>
  <c r="G637" i="2"/>
  <c r="B680" i="2"/>
  <c r="G366" i="2"/>
  <c r="B733" i="2"/>
  <c r="B436" i="2"/>
  <c r="G329" i="2"/>
  <c r="G342" i="2"/>
  <c r="G307" i="2"/>
  <c r="G441" i="2"/>
  <c r="I265" i="2"/>
  <c r="G629" i="2"/>
  <c r="G596" i="2"/>
  <c r="G449" i="2"/>
  <c r="B313" i="2"/>
  <c r="G696" i="2"/>
  <c r="G619" i="2"/>
  <c r="G499" i="2"/>
  <c r="B326" i="2"/>
  <c r="B430" i="2"/>
  <c r="G400" i="2"/>
  <c r="G752" i="2"/>
  <c r="G725" i="2"/>
  <c r="B509" i="2"/>
  <c r="B385" i="2"/>
  <c r="B745" i="2"/>
  <c r="B445" i="2"/>
  <c r="G590" i="2"/>
  <c r="G652" i="2"/>
  <c r="G381" i="2"/>
  <c r="B687" i="2"/>
  <c r="G508" i="2"/>
  <c r="G482" i="2"/>
  <c r="G349" i="2"/>
  <c r="B475" i="2"/>
  <c r="B575" i="2"/>
  <c r="B558" i="2"/>
  <c r="B377" i="2"/>
  <c r="G394" i="2"/>
  <c r="B314" i="2"/>
  <c r="B554" i="2"/>
  <c r="B528" i="2"/>
  <c r="G600" i="2"/>
  <c r="G594" i="2"/>
  <c r="G501" i="2"/>
  <c r="B759" i="2"/>
  <c r="G655" i="2"/>
  <c r="G585" i="2"/>
  <c r="G756" i="2"/>
  <c r="G355" i="2"/>
  <c r="B457" i="2"/>
  <c r="B425" i="2"/>
  <c r="B352" i="2"/>
  <c r="B278" i="2"/>
  <c r="G681" i="2"/>
  <c r="B471" i="2"/>
  <c r="G645" i="2"/>
  <c r="B479" i="2"/>
  <c r="B422" i="2"/>
  <c r="G771" i="2"/>
  <c r="G626" i="2"/>
  <c r="G497" i="2"/>
  <c r="B564" i="2"/>
  <c r="B732" i="2"/>
  <c r="G748" i="2"/>
  <c r="B433" i="2"/>
  <c r="G332" i="2"/>
  <c r="B298" i="2"/>
  <c r="B581" i="2"/>
  <c r="G515" i="2"/>
  <c r="G737" i="2"/>
  <c r="B379" i="2"/>
  <c r="B725" i="2"/>
  <c r="G535" i="2"/>
  <c r="G685" i="2"/>
  <c r="G390" i="2"/>
  <c r="G272" i="2"/>
  <c r="G666" i="2"/>
  <c r="G475" i="2"/>
  <c r="B753" i="2"/>
  <c r="G280" i="2"/>
  <c r="G578" i="2"/>
  <c r="B553" i="2"/>
  <c r="G284" i="2"/>
  <c r="G732" i="2"/>
  <c r="G326" i="2"/>
  <c r="G411" i="2"/>
  <c r="B395" i="2"/>
  <c r="G621" i="2"/>
  <c r="B662" i="2"/>
  <c r="B533" i="2"/>
  <c r="B550" i="2"/>
  <c r="B378" i="2"/>
  <c r="G447" i="2"/>
  <c r="G768" i="2"/>
  <c r="B644" i="2"/>
  <c r="B595" i="2"/>
  <c r="G772" i="2"/>
  <c r="B305" i="2"/>
  <c r="B464" i="2"/>
  <c r="B562" i="2"/>
  <c r="G680" i="2"/>
  <c r="G586" i="2"/>
  <c r="B657" i="2"/>
  <c r="G387" i="2"/>
  <c r="B292" i="2"/>
  <c r="G300" i="2"/>
  <c r="B448" i="2"/>
  <c r="G514" i="2"/>
  <c r="B610" i="2"/>
  <c r="G438" i="2"/>
  <c r="B526" i="2"/>
  <c r="G545" i="2"/>
  <c r="G308" i="2"/>
  <c r="B356" i="2"/>
  <c r="B728" i="2"/>
  <c r="B277" i="2"/>
  <c r="G708" i="2"/>
  <c r="B372" i="2"/>
  <c r="B547" i="2"/>
  <c r="G715" i="2"/>
  <c r="B674" i="2"/>
  <c r="G502" i="2"/>
  <c r="B381" i="2"/>
  <c r="B529" i="2"/>
  <c r="B734" i="2"/>
  <c r="B408" i="2"/>
  <c r="G636" i="2"/>
  <c r="G361" i="2"/>
  <c r="B692" i="2"/>
  <c r="G665" i="2"/>
  <c r="G552" i="2"/>
  <c r="B527" i="2"/>
  <c r="G653" i="2"/>
  <c r="G299" i="2"/>
  <c r="B719" i="2"/>
  <c r="G509" i="2"/>
  <c r="G544" i="2"/>
  <c r="B632" i="2"/>
  <c r="G416" i="2"/>
  <c r="G488" i="2"/>
  <c r="B351" i="2"/>
  <c r="B458" i="2"/>
  <c r="B536" i="2"/>
  <c r="G312" i="2"/>
  <c r="B746" i="2"/>
  <c r="B410" i="2"/>
  <c r="B350" i="2"/>
  <c r="B275" i="2"/>
  <c r="G658" i="2"/>
  <c r="B755" i="2"/>
  <c r="G485" i="2"/>
  <c r="G319" i="2"/>
  <c r="B606" i="2"/>
  <c r="B599" i="2"/>
  <c r="G453" i="2"/>
  <c r="G481" i="2"/>
  <c r="B493" i="2"/>
  <c r="B336" i="2"/>
  <c r="B334" i="2"/>
  <c r="B740" i="2"/>
  <c r="B642" i="2"/>
  <c r="G273" i="2"/>
  <c r="G710" i="2"/>
  <c r="B638" i="2"/>
  <c r="G348" i="2"/>
  <c r="G739" i="2"/>
  <c r="B484" i="2"/>
  <c r="B355" i="2"/>
  <c r="G575" i="2"/>
  <c r="B586" i="2"/>
  <c r="B627" i="2"/>
  <c r="B358" i="2"/>
  <c r="G627" i="2"/>
  <c r="B411" i="2"/>
  <c r="B576" i="2"/>
  <c r="G702" i="2"/>
  <c r="G425" i="2"/>
  <c r="B612" i="2"/>
  <c r="B537" i="2"/>
  <c r="B645" i="2"/>
  <c r="G460" i="2"/>
  <c r="G770" i="2"/>
  <c r="B469" i="2"/>
  <c r="G728" i="2"/>
  <c r="B496" i="2"/>
  <c r="B643" i="2"/>
  <c r="B749" i="2"/>
  <c r="G303" i="2"/>
  <c r="B698" i="2"/>
  <c r="B342" i="2"/>
  <c r="B771" i="2"/>
  <c r="B647" i="2"/>
  <c r="G506" i="2"/>
  <c r="G437" i="2"/>
  <c r="B574" i="2"/>
  <c r="B714" i="2"/>
  <c r="B577" i="2"/>
  <c r="B669" i="2"/>
  <c r="G442" i="2"/>
  <c r="B303" i="2"/>
  <c r="B591" i="2"/>
  <c r="B373" i="2"/>
  <c r="G382" i="2"/>
  <c r="B768" i="2"/>
  <c r="B483" i="2"/>
  <c r="B661" i="2"/>
  <c r="B429" i="2"/>
  <c r="B592" i="2"/>
  <c r="B414" i="2"/>
  <c r="G580" i="2"/>
  <c r="B343" i="2"/>
  <c r="G564" i="2"/>
  <c r="B723" i="2"/>
  <c r="B321" i="2"/>
  <c r="G448" i="2"/>
  <c r="B518" i="2"/>
  <c r="G356" i="2"/>
  <c r="G290" i="2"/>
  <c r="B495" i="2"/>
  <c r="G374" i="2"/>
  <c r="G375" i="2"/>
  <c r="B284" i="2"/>
  <c r="G459" i="2"/>
  <c r="G566" i="2"/>
  <c r="B397" i="2"/>
  <c r="B748" i="2"/>
  <c r="B288" i="2"/>
  <c r="G472" i="2"/>
  <c r="G651" i="2"/>
  <c r="B637" i="2"/>
  <c r="B294" i="2"/>
  <c r="G298" i="2"/>
  <c r="B340" i="2"/>
  <c r="G358" i="2"/>
  <c r="G309" i="2"/>
  <c r="G755" i="2"/>
  <c r="G313" i="2"/>
  <c r="B387" i="2"/>
  <c r="G669" i="2"/>
  <c r="B402" i="2"/>
  <c r="B648" i="2"/>
  <c r="G640" i="2"/>
  <c r="B654" i="2"/>
  <c r="B498" i="2"/>
  <c r="G591" i="2"/>
  <c r="G704" i="2"/>
  <c r="B405" i="2"/>
  <c r="G301" i="2"/>
  <c r="G468" i="2"/>
  <c r="B361" i="2"/>
  <c r="B668" i="2"/>
  <c r="B672" i="2"/>
  <c r="G605" i="2"/>
  <c r="B333" i="2"/>
  <c r="G700" i="2"/>
  <c r="B532" i="2"/>
  <c r="G469" i="2"/>
  <c r="B683" i="2"/>
  <c r="G274" i="2"/>
  <c r="B677" i="2"/>
  <c r="B286" i="2"/>
  <c r="B447" i="2"/>
  <c r="G641" i="2"/>
  <c r="B622" i="2"/>
  <c r="B634" i="2"/>
  <c r="B681" i="2"/>
  <c r="G354" i="2"/>
  <c r="G362" i="2"/>
  <c r="B650" i="2"/>
  <c r="G679" i="2"/>
  <c r="G410" i="2"/>
  <c r="G384" i="2"/>
  <c r="G767" i="2"/>
  <c r="G753" i="2"/>
  <c r="B538" i="2"/>
  <c r="G746" i="2"/>
  <c r="B359" i="2"/>
  <c r="B480" i="2"/>
  <c r="B452" i="2"/>
  <c r="B696" i="2"/>
  <c r="G432" i="2"/>
  <c r="G553" i="2"/>
  <c r="B765" i="2"/>
  <c r="B708" i="2"/>
  <c r="B531" i="2"/>
  <c r="G339" i="2"/>
  <c r="G388" i="2"/>
  <c r="B274" i="2"/>
  <c r="B434" i="2"/>
  <c r="G583" i="2"/>
  <c r="G370" i="2"/>
  <c r="G291" i="2"/>
  <c r="G581" i="2"/>
  <c r="G321" i="2"/>
  <c r="B689" i="2"/>
  <c r="G650" i="2"/>
  <c r="G690" i="2"/>
  <c r="G555" i="2"/>
  <c r="B635" i="2"/>
  <c r="B750" i="2"/>
  <c r="B535" i="2"/>
  <c r="G551" i="2"/>
  <c r="B367" i="2"/>
  <c r="G420" i="2"/>
  <c r="B731" i="2"/>
  <c r="B344" i="2"/>
  <c r="G616" i="2"/>
  <c r="B580" i="2"/>
  <c r="G761" i="2"/>
  <c r="B427" i="2"/>
  <c r="B477" i="2"/>
  <c r="G364" i="2"/>
  <c r="B617" i="2"/>
  <c r="G436" i="2"/>
  <c r="G403" i="2"/>
  <c r="B494" i="2"/>
  <c r="G464" i="2"/>
  <c r="B629" i="2"/>
  <c r="B615" i="2"/>
  <c r="G763" i="2"/>
  <c r="B353" i="2"/>
  <c r="B349" i="2"/>
  <c r="G604" i="2"/>
  <c r="B524" i="2"/>
  <c r="G428" i="2"/>
  <c r="B354" i="2"/>
  <c r="G722" i="2"/>
  <c r="G695" i="2"/>
  <c r="G617" i="2"/>
  <c r="G511" i="2"/>
  <c r="B476" i="2"/>
  <c r="B614" i="2"/>
  <c r="B715" i="2"/>
  <c r="B597" i="2"/>
  <c r="B730" i="2"/>
  <c r="G451" i="2"/>
  <c r="B676" i="2"/>
  <c r="B301" i="2"/>
  <c r="G474" i="2"/>
  <c r="B486" i="2"/>
  <c r="G738" i="2"/>
  <c r="B682" i="2"/>
  <c r="G295" i="2"/>
  <c r="B609" i="2"/>
  <c r="B766" i="2"/>
  <c r="G638" i="2"/>
  <c r="B461" i="2"/>
  <c r="G662" i="2"/>
  <c r="B555" i="2"/>
  <c r="G526" i="2"/>
  <c r="G328" i="2"/>
  <c r="B585" i="2"/>
  <c r="G330" i="2"/>
  <c r="B267" i="2"/>
  <c r="B571" i="2"/>
  <c r="B646" i="2"/>
  <c r="B608" i="2"/>
  <c r="G558" i="2"/>
  <c r="B541" i="2"/>
  <c r="B710" i="2"/>
  <c r="G470" i="2"/>
  <c r="G495" i="2"/>
  <c r="G365" i="2"/>
  <c r="G392" i="2"/>
  <c r="B743" i="2"/>
  <c r="G769" i="2"/>
  <c r="B439" i="2"/>
  <c r="B391" i="2"/>
  <c r="G393" i="2"/>
  <c r="G294" i="2"/>
  <c r="B649" i="2"/>
  <c r="B663" i="2"/>
  <c r="B633" i="2"/>
  <c r="B300" i="2"/>
  <c r="B697" i="2"/>
  <c r="B578" i="2"/>
  <c r="G343" i="2"/>
  <c r="G379" i="2"/>
  <c r="G709" i="2"/>
  <c r="G609" i="2"/>
  <c r="G760" i="2"/>
  <c r="G344" i="2"/>
  <c r="B770" i="2"/>
  <c r="B474" i="2"/>
  <c r="B624" i="2"/>
  <c r="G736" i="2"/>
  <c r="G720" i="2"/>
  <c r="B607" i="2"/>
  <c r="B346" i="2"/>
  <c r="B272" i="2"/>
  <c r="B621" i="2"/>
  <c r="B572" i="2"/>
  <c r="B497" i="2"/>
  <c r="B466" i="2"/>
  <c r="G706" i="2"/>
  <c r="G613" i="2"/>
  <c r="B490" i="2"/>
  <c r="B551" i="2"/>
  <c r="G426" i="2"/>
  <c r="B565" i="2"/>
  <c r="G320" i="2"/>
  <c r="B424" i="2"/>
  <c r="G376" i="2"/>
  <c r="G546" i="2"/>
  <c r="B327" i="2"/>
  <c r="B573" i="2"/>
  <c r="B514" i="2"/>
  <c r="B631" i="2"/>
  <c r="B363" i="2"/>
  <c r="B712" i="2"/>
  <c r="B302" i="2"/>
  <c r="G563" i="2"/>
  <c r="B658" i="2"/>
  <c r="B762" i="2"/>
  <c r="B736" i="2"/>
  <c r="G333" i="2"/>
  <c r="G643" i="2"/>
  <c r="B583" i="2"/>
  <c r="B491" i="2"/>
  <c r="B295" i="2"/>
  <c r="D267" i="2"/>
  <c r="B415" i="2"/>
  <c r="G275" i="2"/>
  <c r="B401" i="2"/>
  <c r="B307" i="2"/>
  <c r="G639" i="2"/>
  <c r="B399" i="2"/>
  <c r="B456" i="2"/>
  <c r="B371" i="2"/>
  <c r="B560" i="2"/>
  <c r="G440" i="2"/>
  <c r="G707" i="2"/>
  <c r="G525" i="2"/>
  <c r="G559" i="2"/>
  <c r="B582" i="2"/>
  <c r="G676" i="2"/>
  <c r="G337" i="2"/>
  <c r="G424" i="2"/>
  <c r="G292" i="2"/>
  <c r="G507" i="2"/>
  <c r="G602" i="2"/>
  <c r="G512" i="2"/>
  <c r="B366" i="2"/>
  <c r="G477" i="2"/>
  <c r="B568" i="2"/>
  <c r="G749" i="2"/>
  <c r="G726" i="2"/>
  <c r="B556" i="2"/>
  <c r="G703" i="2"/>
  <c r="B507" i="2"/>
  <c r="G691" i="2"/>
  <c r="B636" i="2"/>
  <c r="B651" i="2"/>
  <c r="G445" i="2"/>
  <c r="G378" i="2"/>
  <c r="B552" i="2"/>
  <c r="G754" i="2"/>
  <c r="B450" i="2"/>
  <c r="G296" i="2"/>
  <c r="G480" i="2"/>
  <c r="B598" i="2"/>
  <c r="B752" i="2"/>
  <c r="B331" i="2"/>
  <c r="B428" i="2"/>
  <c r="B543" i="2"/>
  <c r="B510" i="2"/>
  <c r="G757" i="2"/>
  <c r="B603" i="2"/>
  <c r="B702" i="2"/>
  <c r="B446" i="2"/>
  <c r="B530" i="2"/>
  <c r="G490" i="2"/>
  <c r="B332" i="2"/>
  <c r="B311" i="2"/>
  <c r="B273" i="2"/>
  <c r="G406" i="2"/>
  <c r="G635" i="2"/>
  <c r="B690" i="2"/>
  <c r="B519" i="2"/>
  <c r="B403" i="2"/>
  <c r="B330" i="2"/>
  <c r="B707" i="2"/>
  <c r="G467" i="2"/>
  <c r="G341" i="2"/>
  <c r="B280" i="2"/>
  <c r="B382" i="2"/>
  <c r="B667" i="2"/>
  <c r="G644" i="2"/>
  <c r="G524" i="2"/>
  <c r="G368" i="2"/>
  <c r="G642" i="2"/>
  <c r="G523" i="2"/>
  <c r="B304" i="2"/>
  <c r="G686" i="2"/>
  <c r="B566" i="2"/>
  <c r="G331" i="2"/>
  <c r="B481" i="2"/>
  <c r="B738" i="2"/>
  <c r="B671" i="2"/>
  <c r="G601" i="2"/>
  <c r="B722" i="2"/>
  <c r="B503" i="2"/>
  <c r="G315" i="2"/>
  <c r="B364" i="2"/>
  <c r="G661" i="2"/>
  <c r="G762" i="2"/>
  <c r="G533" i="2"/>
  <c r="G574" i="2"/>
  <c r="B548" i="2"/>
  <c r="B705" i="2"/>
  <c r="G608" i="2"/>
  <c r="G620" i="2"/>
  <c r="B716" i="2"/>
  <c r="B488" i="2"/>
  <c r="G527" i="2"/>
  <c r="G699" i="2"/>
  <c r="G351" i="2"/>
  <c r="B442" i="2"/>
  <c r="B432" i="2"/>
  <c r="B287" i="2"/>
  <c r="G557" i="2"/>
  <c r="G682" i="2"/>
  <c r="G487" i="2"/>
  <c r="G744" i="2"/>
  <c r="B470" i="2"/>
  <c r="B545" i="2"/>
  <c r="B426" i="2"/>
  <c r="G380" i="2"/>
  <c r="G701" i="2"/>
  <c r="B276" i="2"/>
  <c r="B665" i="2"/>
  <c r="B727" i="2"/>
  <c r="G415" i="2"/>
  <c r="G276" i="2"/>
  <c r="B375" i="2"/>
  <c r="B291" i="2"/>
  <c r="B420" i="2"/>
  <c r="G717" i="2"/>
  <c r="G522" i="2"/>
  <c r="G489" i="2"/>
  <c r="G711" i="2"/>
  <c r="B605" i="2"/>
  <c r="B742" i="2"/>
  <c r="G540" i="2"/>
  <c r="B757" i="2"/>
  <c r="G510" i="2"/>
  <c r="B390" i="2"/>
  <c r="B413" i="2"/>
  <c r="B369" i="2"/>
  <c r="G588" i="2"/>
  <c r="G584" i="2"/>
  <c r="G463" i="2"/>
  <c r="B322" i="2"/>
  <c r="B318" i="2"/>
  <c r="G492" i="2"/>
  <c r="B549" i="2"/>
  <c r="B453" i="2"/>
  <c r="G633" i="2"/>
  <c r="G688" i="2"/>
  <c r="B656" i="2"/>
  <c r="B394" i="2"/>
  <c r="G542" i="2"/>
  <c r="G520" i="2"/>
  <c r="B388" i="2"/>
  <c r="B703" i="2"/>
  <c r="B652" i="2"/>
  <c r="B684" i="2"/>
  <c r="B704" i="2"/>
  <c r="B539" i="2"/>
  <c r="G615" i="2"/>
  <c r="B337" i="2"/>
  <c r="B693" i="2"/>
  <c r="B501" i="2"/>
  <c r="B616" i="2"/>
  <c r="B678" i="2"/>
  <c r="G740" i="2"/>
  <c r="G396" i="2"/>
  <c r="G672" i="2"/>
  <c r="G648" i="2"/>
  <c r="G693" i="2"/>
  <c r="B297" i="2"/>
  <c r="G293" i="2"/>
  <c r="G278" i="2"/>
  <c r="B400" i="2"/>
  <c r="B641" i="2"/>
  <c r="G421" i="2"/>
  <c r="G684" i="2"/>
  <c r="B563" i="2"/>
  <c r="G592" i="2"/>
  <c r="B726" i="2"/>
  <c r="G360" i="2"/>
  <c r="G363" i="2"/>
  <c r="G398" i="2"/>
  <c r="B618" i="2"/>
  <c r="B418" i="2"/>
  <c r="G734" i="2"/>
  <c r="B709" i="2"/>
  <c r="B511" i="2"/>
  <c r="B737" i="2"/>
  <c r="G498" i="2"/>
  <c r="G281" i="2"/>
  <c r="G385" i="2"/>
  <c r="G550" i="2"/>
  <c r="G471" i="2"/>
  <c r="B406" i="2"/>
  <c r="B309" i="2"/>
  <c r="G730" i="2"/>
  <c r="G667" i="2"/>
  <c r="G304" i="2"/>
  <c r="G598" i="2"/>
  <c r="B451" i="2"/>
  <c r="G595" i="2"/>
  <c r="G347" i="2"/>
  <c r="G521" i="2"/>
  <c r="B290" i="2"/>
  <c r="B520" i="2"/>
  <c r="B579" i="2"/>
  <c r="G549" i="2"/>
  <c r="G478" i="2"/>
  <c r="B341" i="2"/>
  <c r="B393" i="2"/>
  <c r="G418" i="2"/>
  <c r="G353" i="2"/>
  <c r="B588" i="2"/>
  <c r="B467" i="2"/>
  <c r="B625" i="2"/>
  <c r="G556" i="2"/>
  <c r="B626" i="2"/>
  <c r="B620" i="2"/>
  <c r="B694" i="2"/>
  <c r="G473" i="2"/>
  <c r="G345" i="2"/>
  <c r="G606" i="2"/>
  <c r="B567" i="2"/>
  <c r="B463" i="2"/>
  <c r="B628" i="2"/>
  <c r="G565" i="2"/>
  <c r="B546" i="2"/>
  <c r="G733" i="2"/>
  <c r="G536" i="2"/>
  <c r="B335" i="2"/>
  <c r="B338" i="2"/>
  <c r="G338" i="2"/>
  <c r="G569" i="2"/>
  <c r="G461" i="2"/>
  <c r="B724" i="2"/>
  <c r="G483" i="2"/>
  <c r="G402" i="2"/>
  <c r="G314" i="2"/>
  <c r="B310" i="2"/>
  <c r="G288" i="2"/>
  <c r="B396" i="2"/>
  <c r="B664" i="2"/>
  <c r="G401" i="2"/>
  <c r="G572" i="2"/>
  <c r="B513" i="2"/>
  <c r="G712" i="2"/>
  <c r="G660" i="2"/>
  <c r="G446" i="2"/>
  <c r="B376" i="2"/>
  <c r="G538" i="2"/>
  <c r="G350" i="2"/>
  <c r="G407" i="2"/>
  <c r="B421" i="2"/>
  <c r="B455" i="2"/>
  <c r="B540" i="2"/>
  <c r="B449" i="2"/>
  <c r="G334" i="2"/>
  <c r="G539" i="2"/>
  <c r="G562" i="2"/>
  <c r="B653" i="2"/>
  <c r="G518" i="2"/>
  <c r="B279" i="2"/>
  <c r="B604" i="2"/>
  <c r="B602" i="2"/>
  <c r="G452" i="2"/>
  <c r="B623" i="2"/>
  <c r="G723" i="2"/>
  <c r="B362" i="2"/>
  <c r="G654" i="2"/>
  <c r="G431" i="2"/>
  <c r="B570" i="2"/>
  <c r="B587" i="2"/>
  <c r="B482" i="2"/>
  <c r="G462" i="2"/>
  <c r="G603" i="2"/>
  <c r="B741" i="2"/>
  <c r="B600" i="2"/>
  <c r="G692" i="2"/>
  <c r="B306" i="2"/>
  <c r="G697" i="2"/>
  <c r="G758" i="2"/>
  <c r="B718" i="2"/>
  <c r="B299" i="2"/>
  <c r="G656" i="2"/>
  <c r="B368" i="2"/>
  <c r="G408" i="2"/>
  <c r="B559" i="2"/>
  <c r="B717" i="2"/>
  <c r="G628" i="2"/>
  <c r="B584" i="2"/>
  <c r="G310" i="2"/>
  <c r="G561" i="2"/>
  <c r="B462" i="2"/>
  <c r="G612" i="2"/>
  <c r="G597" i="2"/>
  <c r="G465" i="2"/>
  <c r="G325" i="2"/>
  <c r="G302" i="2"/>
  <c r="G735" i="2"/>
  <c r="G713" i="2"/>
  <c r="G373" i="2"/>
  <c r="B688" i="2"/>
  <c r="G346" i="2"/>
  <c r="B544" i="2"/>
  <c r="B619" i="2"/>
  <c r="G610" i="2"/>
  <c r="B468" i="2"/>
  <c r="B711" i="2"/>
  <c r="G434" i="2"/>
  <c r="G689" i="2"/>
  <c r="G687" i="2"/>
  <c r="B767" i="2"/>
  <c r="B339" i="2"/>
  <c r="G634" i="2"/>
  <c r="G671" i="2"/>
  <c r="G454" i="2"/>
  <c r="G534" i="2"/>
  <c r="G369" i="2"/>
  <c r="G674" i="2"/>
  <c r="G282" i="2"/>
  <c r="B751" i="2"/>
  <c r="B596" i="2"/>
  <c r="B525" i="2"/>
  <c r="G659" i="2"/>
  <c r="G476" i="2"/>
  <c r="B517" i="2"/>
  <c r="G657" i="2"/>
  <c r="B487" i="2"/>
  <c r="B485" i="2"/>
  <c r="G466" i="2"/>
  <c r="B389" i="2"/>
  <c r="G414" i="2"/>
  <c r="B465" i="2"/>
  <c r="G412" i="2"/>
  <c r="G386" i="2"/>
  <c r="G399" i="2"/>
  <c r="B296" i="2"/>
  <c r="G516" i="2"/>
  <c r="G405" i="2"/>
  <c r="B675" i="2"/>
  <c r="G587" i="2"/>
  <c r="G450" i="2"/>
  <c r="G573" i="2"/>
  <c r="G456" i="2"/>
  <c r="G766" i="2"/>
  <c r="B699" i="2"/>
  <c r="B345" i="2"/>
  <c r="B444" i="2"/>
  <c r="B744" i="2"/>
  <c r="G599" i="2"/>
  <c r="B601" i="2"/>
  <c r="B283" i="2"/>
  <c r="G340" i="2"/>
  <c r="B515" i="2"/>
  <c r="B764" i="2"/>
  <c r="G625" i="2"/>
  <c r="B409" i="2"/>
  <c r="B504" i="2"/>
  <c r="G541" i="2"/>
  <c r="B760" i="2"/>
  <c r="G631" i="2"/>
  <c r="G719" i="2"/>
  <c r="B360" i="2"/>
  <c r="B594" i="2"/>
  <c r="G560" i="2"/>
  <c r="B293" i="2"/>
  <c r="G577" i="2"/>
  <c r="B701" i="2"/>
  <c r="G359" i="2"/>
  <c r="B384" i="2"/>
  <c r="G423" i="2"/>
  <c r="G765" i="2"/>
  <c r="B721" i="2"/>
  <c r="G675" i="2"/>
  <c r="B670" i="2"/>
  <c r="B590" i="2"/>
  <c r="B459" i="2"/>
  <c r="B611" i="2"/>
  <c r="G537" i="2"/>
  <c r="B398" i="2"/>
  <c r="G623" i="2"/>
  <c r="G714" i="2"/>
  <c r="B758" i="2"/>
  <c r="G531" i="2"/>
  <c r="G491" i="2"/>
  <c r="B435" i="2"/>
  <c r="B557" i="2"/>
  <c r="B499" i="2"/>
  <c r="B754" i="2"/>
  <c r="B317" i="2"/>
  <c r="B357" i="2"/>
  <c r="B472" i="2"/>
  <c r="G567" i="2"/>
  <c r="G668" i="2"/>
  <c r="G646" i="2"/>
  <c r="B686" i="2"/>
  <c r="G391" i="2"/>
  <c r="B489" i="2"/>
  <c r="G279" i="2"/>
  <c r="G579" i="2"/>
  <c r="G670" i="2"/>
  <c r="B308" i="2"/>
  <c r="G716" i="2"/>
  <c r="G532" i="2"/>
  <c r="B347" i="2"/>
  <c r="G614" i="2"/>
  <c r="G705" i="2"/>
  <c r="B423" i="2"/>
  <c r="B589" i="2"/>
  <c r="G759" i="2"/>
  <c r="B639" i="2"/>
  <c r="G718" i="2"/>
  <c r="G503" i="2"/>
  <c r="G750" i="2"/>
  <c r="B685" i="2"/>
  <c r="G327" i="2"/>
  <c r="B695" i="2"/>
  <c r="B516" i="2"/>
  <c r="C267" i="2"/>
  <c r="G618" i="2"/>
  <c r="B478" i="2"/>
  <c r="G429" i="2"/>
  <c r="G439" i="2"/>
  <c r="B443" i="2"/>
  <c r="B666" i="2"/>
  <c r="G543" i="2"/>
  <c r="G528" i="2"/>
  <c r="G283" i="2"/>
  <c r="B404" i="2"/>
  <c r="G632" i="2"/>
  <c r="B370" i="2"/>
  <c r="G493" i="2"/>
  <c r="B679" i="2"/>
  <c r="G427" i="2"/>
  <c r="G751" i="2"/>
  <c r="G409" i="2"/>
  <c r="G764" i="2"/>
  <c r="G517" i="2"/>
  <c r="B348" i="2"/>
  <c r="G372" i="2"/>
  <c r="B285" i="2"/>
  <c r="G336" i="2"/>
  <c r="B542" i="2"/>
  <c r="G352" i="2"/>
  <c r="G324" i="2"/>
  <c r="G630" i="2"/>
  <c r="B769" i="2"/>
  <c r="G571" i="2"/>
  <c r="G683" i="2"/>
  <c r="G316" i="2"/>
  <c r="B691" i="2"/>
  <c r="G289" i="2"/>
  <c r="B289" i="2"/>
  <c r="B700" i="2"/>
  <c r="G519" i="2"/>
  <c r="G357" i="2"/>
  <c r="B763" i="2"/>
  <c r="G576" i="2"/>
  <c r="G504" i="2"/>
  <c r="B441" i="2"/>
  <c r="G433" i="2"/>
  <c r="B593" i="2"/>
  <c r="G729" i="2"/>
  <c r="B747" i="2"/>
  <c r="G397" i="2"/>
  <c r="G496" i="2"/>
  <c r="B473" i="2"/>
  <c r="G458" i="2"/>
  <c r="G721" i="2"/>
  <c r="B502" i="2"/>
  <c r="B739" i="2"/>
  <c r="G443" i="2"/>
  <c r="G404" i="2"/>
  <c r="G417" i="2"/>
  <c r="G727" i="2"/>
  <c r="G745" i="2"/>
  <c r="G647" i="2"/>
  <c r="B659" i="2"/>
  <c r="B324" i="2"/>
  <c r="G694" i="2"/>
  <c r="G383" i="2"/>
  <c r="B454" i="2"/>
  <c r="G335" i="2"/>
  <c r="B417" i="2"/>
  <c r="B407" i="2"/>
  <c r="G589" i="2"/>
  <c r="G322" i="2"/>
  <c r="B673" i="2"/>
  <c r="B706" i="2"/>
  <c r="G568" i="2"/>
  <c r="G747" i="2"/>
  <c r="B506" i="2"/>
  <c r="G413" i="2"/>
  <c r="B438" i="2"/>
  <c r="B325" i="2"/>
  <c r="B419" i="2"/>
  <c r="B761" i="2"/>
  <c r="B460" i="2"/>
  <c r="G286" i="2"/>
  <c r="G547" i="2"/>
  <c r="G554" i="2"/>
  <c r="G484" i="2"/>
  <c r="G724" i="2"/>
  <c r="B312" i="2"/>
  <c r="G435" i="2"/>
  <c r="G593" i="2"/>
  <c r="G444" i="2"/>
  <c r="G664" i="2"/>
  <c r="B316" i="2"/>
  <c r="G323" i="2"/>
  <c r="B315" i="2"/>
  <c r="G513" i="2"/>
  <c r="G570" i="2"/>
  <c r="G311" i="2"/>
  <c r="B613" i="2"/>
  <c r="B320" i="2"/>
  <c r="G673" i="2"/>
  <c r="G698" i="2"/>
  <c r="B713" i="2"/>
  <c r="B523" i="2"/>
  <c r="B569" i="2"/>
  <c r="G505" i="2"/>
  <c r="G377" i="2"/>
  <c r="B374" i="2"/>
  <c r="G743" i="2"/>
  <c r="B505" i="2"/>
  <c r="B729" i="2"/>
  <c r="B365" i="2"/>
  <c r="G297" i="2"/>
  <c r="G455" i="2"/>
  <c r="B720" i="2"/>
  <c r="B660" i="2"/>
  <c r="G277" i="2"/>
  <c r="B534" i="2"/>
  <c r="B392" i="2"/>
  <c r="B319" i="2"/>
  <c r="G371" i="2"/>
  <c r="B500" i="2"/>
  <c r="B640" i="2"/>
  <c r="B380" i="2"/>
  <c r="G287" i="2"/>
  <c r="B383" i="2"/>
  <c r="G731" i="2"/>
  <c r="G607" i="2"/>
  <c r="G486" i="2"/>
  <c r="B412" i="2"/>
  <c r="G677" i="2"/>
  <c r="G285" i="2"/>
  <c r="G741" i="2"/>
  <c r="G430" i="2"/>
  <c r="B431" i="2"/>
  <c r="G494" i="2"/>
  <c r="G306" i="2"/>
  <c r="G548" i="2"/>
  <c r="B416" i="2"/>
  <c r="B492" i="2"/>
  <c r="B512" i="2"/>
  <c r="B655" i="2"/>
  <c r="G530" i="2"/>
  <c r="B323" i="2"/>
  <c r="B522" i="2"/>
  <c r="G305" i="2"/>
  <c r="G318" i="2"/>
  <c r="G529" i="2"/>
  <c r="B282" i="2"/>
  <c r="B508" i="2"/>
  <c r="B281" i="2"/>
  <c r="G395" i="2"/>
  <c r="B386" i="2"/>
  <c r="G624" i="2"/>
  <c r="G663" i="2"/>
  <c r="G457" i="2"/>
  <c r="B440" i="2"/>
  <c r="G389" i="2"/>
  <c r="B561" i="2"/>
  <c r="G678" i="2"/>
  <c r="G611" i="2"/>
  <c r="G422" i="2"/>
  <c r="G622" i="2"/>
  <c r="G419" i="2"/>
  <c r="B735" i="2"/>
  <c r="B329" i="2"/>
  <c r="B756" i="2"/>
  <c r="B328" i="2"/>
  <c r="G582" i="2"/>
  <c r="G317" i="2"/>
  <c r="F3" i="13"/>
  <c r="F19" i="12"/>
  <c r="H19" i="12"/>
  <c r="J19" i="12" s="1"/>
  <c r="L19" i="12" s="1"/>
  <c r="N19" i="12" s="1"/>
  <c r="D136" i="2"/>
  <c r="J338" i="2"/>
  <c r="J558" i="2"/>
  <c r="J618" i="2"/>
  <c r="J675" i="2"/>
  <c r="J683" i="2"/>
  <c r="J497" i="2"/>
  <c r="J370" i="2"/>
  <c r="J467" i="2"/>
  <c r="J772" i="2"/>
  <c r="J631" i="2"/>
  <c r="J475" i="2"/>
  <c r="J479" i="2"/>
  <c r="J432" i="2"/>
  <c r="J414" i="2"/>
  <c r="J522" i="2"/>
  <c r="J639" i="2"/>
  <c r="J514" i="2"/>
  <c r="J671" i="2"/>
  <c r="J718" i="2"/>
  <c r="J754" i="2"/>
  <c r="J625" i="2"/>
  <c r="J750" i="2"/>
  <c r="J343" i="2"/>
  <c r="J757" i="2"/>
  <c r="J458" i="2"/>
  <c r="J469" i="2"/>
  <c r="J578" i="2"/>
  <c r="J396" i="2"/>
  <c r="J749" i="2"/>
  <c r="J483" i="2"/>
  <c r="J322" i="2"/>
  <c r="J513" i="2"/>
  <c r="J767" i="2"/>
  <c r="J753" i="2"/>
  <c r="J585" i="2"/>
  <c r="J581" i="2"/>
  <c r="J314" i="2"/>
  <c r="J733" i="2"/>
  <c r="J560" i="2"/>
  <c r="J512" i="2"/>
  <c r="J418" i="2"/>
  <c r="J419" i="2"/>
  <c r="J568" i="2"/>
  <c r="J742" i="2"/>
  <c r="J569" i="2"/>
  <c r="J495" i="2"/>
  <c r="J515" i="2"/>
  <c r="J685" i="2"/>
  <c r="J399" i="2"/>
  <c r="J765" i="2"/>
  <c r="J371" i="2"/>
  <c r="J416" i="2"/>
  <c r="J586" i="2"/>
  <c r="J692" i="2"/>
  <c r="J681" i="2"/>
  <c r="J411" i="2"/>
  <c r="J408" i="2"/>
  <c r="J760" i="2"/>
  <c r="J534" i="2"/>
  <c r="J680" i="2"/>
  <c r="J634" i="2"/>
  <c r="J422" i="2"/>
  <c r="J390" i="2"/>
  <c r="J406" i="2"/>
  <c r="J428" i="2"/>
  <c r="J724" i="2"/>
  <c r="J652" i="2"/>
  <c r="J492" i="2"/>
  <c r="J540" i="2"/>
  <c r="J459" i="2"/>
  <c r="J616" i="2"/>
  <c r="J719" i="2"/>
  <c r="J409" i="2"/>
  <c r="J702" i="2"/>
  <c r="J489" i="2"/>
  <c r="J612" i="2"/>
  <c r="J361" i="2"/>
  <c r="J580" i="2"/>
  <c r="J533" i="2"/>
  <c r="J645" i="2"/>
  <c r="J443" i="2"/>
  <c r="J722" i="2"/>
  <c r="J739" i="2"/>
  <c r="J377" i="2"/>
  <c r="J655" i="2"/>
  <c r="J759" i="2"/>
  <c r="J725" i="2"/>
  <c r="J454" i="2"/>
  <c r="J472" i="2"/>
  <c r="J678" i="2"/>
  <c r="J770" i="2"/>
  <c r="J646" i="2"/>
  <c r="J595" i="2"/>
  <c r="J663" i="2"/>
  <c r="J624" i="2"/>
  <c r="J713" i="2"/>
  <c r="J589" i="2"/>
  <c r="J507" i="2"/>
  <c r="J505" i="2"/>
  <c r="J393" i="2"/>
  <c r="J394" i="2"/>
  <c r="J464" i="2"/>
  <c r="J541" i="2"/>
  <c r="J672" i="2"/>
  <c r="J391" i="2"/>
  <c r="J710" i="2"/>
  <c r="J550" i="2"/>
  <c r="J768" i="2"/>
  <c r="J661" i="2"/>
  <c r="J447" i="2"/>
  <c r="J481" i="2"/>
  <c r="J701" i="2"/>
  <c r="J353" i="2"/>
  <c r="J542" i="2"/>
  <c r="J477" i="2"/>
  <c r="J337" i="2"/>
  <c r="J449" i="2"/>
  <c r="J453" i="2"/>
  <c r="J756" i="2"/>
  <c r="J602" i="2"/>
  <c r="J312" i="2"/>
  <c r="J316" i="2"/>
  <c r="J628" i="2"/>
  <c r="J712" i="2"/>
  <c r="J577" i="2"/>
  <c r="J455" i="2"/>
  <c r="J684" i="2"/>
  <c r="J400" i="2"/>
  <c r="J740" i="2"/>
  <c r="J389" i="2"/>
  <c r="J421" i="2"/>
  <c r="J329" i="2"/>
  <c r="J441" i="2"/>
  <c r="J360" i="2"/>
  <c r="J340" i="2"/>
  <c r="J614" i="2"/>
  <c r="J463" i="2"/>
  <c r="J381" i="2"/>
  <c r="J346" i="2"/>
  <c r="J597" i="2"/>
  <c r="J642" i="2"/>
  <c r="J476" i="2"/>
  <c r="J442" i="2"/>
  <c r="J423" i="2"/>
  <c r="J318" i="2"/>
  <c r="J470" i="2"/>
  <c r="J650" i="2"/>
  <c r="J372" i="2"/>
  <c r="J564" i="2"/>
  <c r="J327" i="2"/>
  <c r="J336" i="2"/>
  <c r="J425" i="2"/>
  <c r="J506" i="2"/>
  <c r="J404" i="2"/>
  <c r="J511" i="2"/>
  <c r="J478" i="2"/>
  <c r="J450" i="2"/>
  <c r="J630" i="2"/>
  <c r="J755" i="2"/>
  <c r="J673" i="2"/>
  <c r="J548" i="2"/>
  <c r="J417" i="2"/>
  <c r="J743" i="2"/>
  <c r="J653" i="2"/>
  <c r="J379" i="2"/>
  <c r="J766" i="2"/>
  <c r="J462" i="2"/>
  <c r="J747" i="2"/>
  <c r="J520" i="2"/>
  <c r="J376" i="2"/>
  <c r="J720" i="2"/>
  <c r="J350" i="2"/>
  <c r="J500" i="2"/>
  <c r="J355" i="2"/>
  <c r="J429" i="2"/>
  <c r="J604" i="2"/>
  <c r="J572" i="2"/>
  <c r="J323" i="2"/>
  <c r="J699" i="2"/>
  <c r="J744" i="2"/>
  <c r="J576" i="2"/>
  <c r="J764" i="2"/>
  <c r="J633" i="2"/>
  <c r="J365" i="2"/>
  <c r="J493" i="2"/>
  <c r="J703" i="2"/>
  <c r="J380" i="2"/>
  <c r="J668" i="2"/>
  <c r="J552" i="2"/>
  <c r="J705" i="2"/>
  <c r="J430" i="2"/>
  <c r="J622" i="2"/>
  <c r="J502" i="2"/>
  <c r="J518" i="2"/>
  <c r="J723" i="2"/>
  <c r="J517" i="2"/>
  <c r="J636" i="2"/>
  <c r="J730" i="2"/>
  <c r="J368" i="2"/>
  <c r="J677" i="2"/>
  <c r="J738" i="2"/>
  <c r="J382" i="2"/>
  <c r="J471" i="2"/>
  <c r="J335" i="2"/>
  <c r="J695" i="2"/>
  <c r="J599" i="2"/>
  <c r="J758" i="2"/>
  <c r="J592" i="2"/>
  <c r="J762" i="2"/>
  <c r="J496" i="2"/>
  <c r="J666" i="2"/>
  <c r="J521" i="2"/>
  <c r="J473" i="2"/>
  <c r="J448" i="2"/>
  <c r="J498" i="2"/>
  <c r="J562" i="2"/>
  <c r="J415" i="2"/>
  <c r="J526" i="2"/>
  <c r="J433" i="2"/>
  <c r="J357" i="2"/>
  <c r="J373" i="2"/>
  <c r="J694" i="2"/>
  <c r="J367" i="2"/>
  <c r="J559" i="2"/>
  <c r="J530" i="2"/>
  <c r="J544" i="2"/>
  <c r="J556" i="2"/>
  <c r="J734" i="2"/>
  <c r="J643" i="2"/>
  <c r="J594" i="2"/>
  <c r="J748" i="2"/>
  <c r="J344" i="2"/>
  <c r="J313" i="2"/>
  <c r="J741" i="2"/>
  <c r="J363" i="2"/>
  <c r="J523" i="2"/>
  <c r="J763" i="2"/>
  <c r="J501" i="2"/>
  <c r="J537" i="2"/>
  <c r="J438" i="2"/>
  <c r="J349" i="2"/>
  <c r="J676" i="2"/>
  <c r="J632" i="2"/>
  <c r="J437" i="2"/>
  <c r="J333" i="2"/>
  <c r="J397" i="2"/>
  <c r="J752" i="2"/>
  <c r="J598" i="2"/>
  <c r="J528" i="2"/>
  <c r="J434" i="2"/>
  <c r="J721" i="2"/>
  <c r="J484" i="2"/>
  <c r="J555" i="2"/>
  <c r="J561" i="2"/>
  <c r="J457" i="2"/>
  <c r="J547" i="2"/>
  <c r="J503" i="2"/>
  <c r="J698" i="2"/>
  <c r="J426" i="2"/>
  <c r="J549" i="2"/>
  <c r="J696" i="2"/>
  <c r="J439" i="2"/>
  <c r="J620" i="2"/>
  <c r="J386" i="2"/>
  <c r="J525" i="2"/>
  <c r="J326" i="2"/>
  <c r="J427" i="2"/>
  <c r="J339" i="2"/>
  <c r="J341" i="2"/>
  <c r="J735" i="2"/>
  <c r="J539" i="2"/>
  <c r="J659" i="2"/>
  <c r="J573" i="2"/>
  <c r="J603" i="2"/>
  <c r="J519" i="2"/>
  <c r="J626" i="2"/>
  <c r="J328" i="2"/>
  <c r="J667" i="2"/>
  <c r="J617" i="2"/>
  <c r="J395" i="2"/>
  <c r="J601" i="2"/>
  <c r="J693" i="2"/>
  <c r="J388" i="2"/>
  <c r="J600" i="2"/>
  <c r="J509" i="2"/>
  <c r="J504" i="2"/>
  <c r="J619" i="2"/>
  <c r="J623" i="2"/>
  <c r="J405" i="2"/>
  <c r="J398" i="2"/>
  <c r="J588" i="2"/>
  <c r="J413" i="2"/>
  <c r="J319" i="2"/>
  <c r="J431" i="2"/>
  <c r="J682" i="2"/>
  <c r="J658" i="2"/>
  <c r="J708" i="2"/>
  <c r="J445" i="2"/>
  <c r="J345" i="2"/>
  <c r="J315" i="2"/>
  <c r="J656" i="2"/>
  <c r="J691" i="2"/>
  <c r="J669" i="2"/>
  <c r="J401" i="2"/>
  <c r="J716" i="2"/>
  <c r="J407" i="2"/>
  <c r="J358" i="2"/>
  <c r="J375" i="2"/>
  <c r="J649" i="2"/>
  <c r="J446" i="2"/>
  <c r="J362" i="2"/>
  <c r="J590" i="2"/>
  <c r="J611" i="2"/>
  <c r="J546" i="2"/>
  <c r="J412" i="2"/>
  <c r="J331" i="2"/>
  <c r="J670" i="2"/>
  <c r="J527" i="2"/>
  <c r="J466" i="2"/>
  <c r="J635" i="2"/>
  <c r="J711" i="2"/>
  <c r="J771" i="2"/>
  <c r="J310" i="2"/>
  <c r="J688" i="2"/>
  <c r="J654" i="2"/>
  <c r="J679" i="2"/>
  <c r="J606" i="2"/>
  <c r="J436" i="2"/>
  <c r="J665" i="2"/>
  <c r="J383" i="2"/>
  <c r="J435" i="2"/>
  <c r="J657" i="2"/>
  <c r="J574" i="2"/>
  <c r="J587" i="2"/>
  <c r="J347" i="2"/>
  <c r="J745" i="2"/>
  <c r="J420" i="2"/>
  <c r="J535" i="2"/>
  <c r="J690" i="2"/>
  <c r="J385" i="2"/>
  <c r="J516" i="2"/>
  <c r="J717" i="2"/>
  <c r="J610" i="2"/>
  <c r="J311" i="2"/>
  <c r="J342" i="2"/>
  <c r="J494" i="2"/>
  <c r="J369" i="2"/>
  <c r="J359" i="2"/>
  <c r="J402" i="2"/>
  <c r="J591" i="2"/>
  <c r="J736" i="2"/>
  <c r="J532" i="2"/>
  <c r="J488" i="2"/>
  <c r="J444" i="2"/>
  <c r="J410" i="2"/>
  <c r="J729" i="2"/>
  <c r="J465" i="2"/>
  <c r="J387" i="2"/>
  <c r="J451" i="2"/>
  <c r="J596" i="2"/>
  <c r="J545" i="2"/>
  <c r="J378" i="2"/>
  <c r="J334" i="2"/>
  <c r="J348" i="2"/>
  <c r="J510" i="2"/>
  <c r="J607" i="2"/>
  <c r="J629" i="2"/>
  <c r="J474" i="2"/>
  <c r="J531" i="2"/>
  <c r="J579" i="2"/>
  <c r="J637" i="2"/>
  <c r="J651" i="2"/>
  <c r="J582" i="2"/>
  <c r="J480" i="2"/>
  <c r="J364" i="2"/>
  <c r="J689" i="2"/>
  <c r="J456" i="2"/>
  <c r="J554" i="2"/>
  <c r="J593" i="2"/>
  <c r="J487" i="2"/>
  <c r="J424" i="2"/>
  <c r="J403" i="2"/>
  <c r="J570" i="2"/>
  <c r="J608" i="2"/>
  <c r="J761" i="2"/>
  <c r="J486" i="2"/>
  <c r="J566" i="2"/>
  <c r="J686" i="2"/>
  <c r="J468" i="2"/>
  <c r="J674" i="2"/>
  <c r="J356" i="2"/>
  <c r="J727" i="2"/>
  <c r="J746" i="2"/>
  <c r="J551" i="2"/>
  <c r="J330" i="2"/>
  <c r="J715" i="2"/>
  <c r="J508" i="2"/>
  <c r="J440" i="2"/>
  <c r="J571" i="2"/>
  <c r="J627" i="2"/>
  <c r="J352" i="2"/>
  <c r="J704" i="2"/>
  <c r="J499" i="2"/>
  <c r="J538" i="2"/>
  <c r="J565" i="2"/>
  <c r="J728" i="2"/>
  <c r="J697" i="2"/>
  <c r="J324" i="2"/>
  <c r="J317" i="2"/>
  <c r="J621" i="2"/>
  <c r="J325" i="2"/>
  <c r="J392" i="2"/>
  <c r="J354" i="2"/>
  <c r="J374" i="2"/>
  <c r="J640" i="2"/>
  <c r="J731" i="2"/>
  <c r="J485" i="2"/>
  <c r="J366" i="2"/>
  <c r="J605" i="2"/>
  <c r="J536" i="2"/>
  <c r="J384" i="2"/>
  <c r="J647" i="2"/>
  <c r="J707" i="2"/>
  <c r="J491" i="2"/>
  <c r="J751" i="2"/>
  <c r="J660" i="2"/>
  <c r="J557" i="2"/>
  <c r="J529" i="2"/>
  <c r="J351" i="2"/>
  <c r="J524" i="2"/>
  <c r="J553" i="2"/>
  <c r="J687" i="2"/>
  <c r="J664" i="2"/>
  <c r="J700" i="2"/>
  <c r="J461" i="2"/>
  <c r="J309" i="2"/>
  <c r="J460" i="2"/>
  <c r="J482" i="2"/>
  <c r="J583" i="2"/>
  <c r="J615" i="2"/>
  <c r="J638" i="2"/>
  <c r="J332" i="2"/>
  <c r="J709" i="2"/>
  <c r="J609" i="2"/>
  <c r="J584" i="2"/>
  <c r="J490" i="2"/>
  <c r="J641" i="2"/>
  <c r="J575" i="2"/>
  <c r="J648" i="2"/>
  <c r="J706" i="2"/>
  <c r="J769" i="2"/>
  <c r="J714" i="2"/>
  <c r="J563" i="2"/>
  <c r="J737" i="2"/>
  <c r="J452" i="2"/>
  <c r="J726" i="2"/>
  <c r="J732" i="2"/>
  <c r="J321" i="2"/>
  <c r="J662" i="2"/>
  <c r="J320" i="2"/>
  <c r="J567" i="2"/>
  <c r="J644" i="2"/>
  <c r="J613" i="2"/>
  <c r="J543" i="2"/>
  <c r="C132" i="2"/>
  <c r="A160" i="2" s="1"/>
  <c r="C131" i="2"/>
  <c r="A159" i="2" s="1"/>
  <c r="C130" i="2"/>
  <c r="A158" i="2" s="1"/>
  <c r="C133" i="2"/>
  <c r="A161" i="2" s="1"/>
  <c r="C126" i="2"/>
  <c r="A154" i="2" s="1"/>
  <c r="C124" i="2"/>
  <c r="A152" i="2" s="1"/>
  <c r="C123" i="2"/>
  <c r="A151" i="2" s="1"/>
  <c r="C127" i="2"/>
  <c r="A155" i="2" s="1"/>
  <c r="C125" i="2"/>
  <c r="A153" i="2" s="1"/>
  <c r="C129" i="2"/>
  <c r="A157" i="2" s="1"/>
  <c r="N22" i="6" l="1"/>
  <c r="K3" i="13"/>
  <c r="H582" i="2"/>
  <c r="I582" i="2"/>
  <c r="I611" i="2"/>
  <c r="H611" i="2"/>
  <c r="D386" i="2"/>
  <c r="C386" i="2"/>
  <c r="C522" i="2"/>
  <c r="D522" i="2"/>
  <c r="I306" i="2"/>
  <c r="H306" i="2"/>
  <c r="H486" i="2"/>
  <c r="I486" i="2"/>
  <c r="I371" i="2"/>
  <c r="H371" i="2"/>
  <c r="H297" i="2"/>
  <c r="I297" i="2"/>
  <c r="C569" i="2"/>
  <c r="D569" i="2"/>
  <c r="I570" i="2"/>
  <c r="H570" i="2"/>
  <c r="H435" i="2"/>
  <c r="I435" i="2"/>
  <c r="D761" i="2"/>
  <c r="C761" i="2"/>
  <c r="D706" i="2"/>
  <c r="C706" i="2"/>
  <c r="I383" i="2"/>
  <c r="H383" i="2"/>
  <c r="H404" i="2"/>
  <c r="I404" i="2"/>
  <c r="H397" i="2"/>
  <c r="I397" i="2"/>
  <c r="C763" i="2"/>
  <c r="D763" i="2"/>
  <c r="I683" i="2"/>
  <c r="H683" i="2"/>
  <c r="D285" i="2"/>
  <c r="C285" i="2"/>
  <c r="D679" i="2"/>
  <c r="C679" i="2"/>
  <c r="D666" i="2"/>
  <c r="C666" i="2"/>
  <c r="D695" i="2"/>
  <c r="C695" i="2"/>
  <c r="D589" i="2"/>
  <c r="C589" i="2"/>
  <c r="H670" i="2"/>
  <c r="I670" i="2"/>
  <c r="H567" i="2"/>
  <c r="I567" i="2"/>
  <c r="H491" i="2"/>
  <c r="I491" i="2"/>
  <c r="D459" i="2"/>
  <c r="C459" i="2"/>
  <c r="I359" i="2"/>
  <c r="H359" i="2"/>
  <c r="H631" i="2"/>
  <c r="I631" i="2"/>
  <c r="H340" i="2"/>
  <c r="I340" i="2"/>
  <c r="H766" i="2"/>
  <c r="I766" i="2"/>
  <c r="C296" i="2"/>
  <c r="D296" i="2"/>
  <c r="C485" i="2"/>
  <c r="D485" i="2"/>
  <c r="C751" i="2"/>
  <c r="D751" i="2"/>
  <c r="D339" i="2"/>
  <c r="C339" i="2"/>
  <c r="C619" i="2"/>
  <c r="D619" i="2"/>
  <c r="H325" i="2"/>
  <c r="I325" i="2"/>
  <c r="I628" i="2"/>
  <c r="H628" i="2"/>
  <c r="I758" i="2"/>
  <c r="H758" i="2"/>
  <c r="D482" i="2"/>
  <c r="C482" i="2"/>
  <c r="H452" i="2"/>
  <c r="I452" i="2"/>
  <c r="H334" i="2"/>
  <c r="I334" i="2"/>
  <c r="D376" i="2"/>
  <c r="C376" i="2"/>
  <c r="D396" i="2"/>
  <c r="C396" i="2"/>
  <c r="I569" i="2"/>
  <c r="H569" i="2"/>
  <c r="C628" i="2"/>
  <c r="D628" i="2"/>
  <c r="C626" i="2"/>
  <c r="D626" i="2"/>
  <c r="C341" i="2"/>
  <c r="D341" i="2"/>
  <c r="I595" i="2"/>
  <c r="H595" i="2"/>
  <c r="I471" i="2"/>
  <c r="H471" i="2"/>
  <c r="I734" i="2"/>
  <c r="H734" i="2"/>
  <c r="D563" i="2"/>
  <c r="C563" i="2"/>
  <c r="I693" i="2"/>
  <c r="H693" i="2"/>
  <c r="C693" i="2"/>
  <c r="D693" i="2"/>
  <c r="D388" i="2"/>
  <c r="C388" i="2"/>
  <c r="D549" i="2"/>
  <c r="C549" i="2"/>
  <c r="D413" i="2"/>
  <c r="C413" i="2"/>
  <c r="I489" i="2"/>
  <c r="H489" i="2"/>
  <c r="C727" i="2"/>
  <c r="D727" i="2"/>
  <c r="H744" i="2"/>
  <c r="I744" i="2"/>
  <c r="H699" i="2"/>
  <c r="I699" i="2"/>
  <c r="H574" i="2"/>
  <c r="I574" i="2"/>
  <c r="I601" i="2"/>
  <c r="H601" i="2"/>
  <c r="I523" i="2"/>
  <c r="H523" i="2"/>
  <c r="I341" i="2"/>
  <c r="H341" i="2"/>
  <c r="H406" i="2"/>
  <c r="I406" i="2"/>
  <c r="D603" i="2"/>
  <c r="C603" i="2"/>
  <c r="H480" i="2"/>
  <c r="I480" i="2"/>
  <c r="D636" i="2"/>
  <c r="C636" i="2"/>
  <c r="H477" i="2"/>
  <c r="I477" i="2"/>
  <c r="H676" i="2"/>
  <c r="I676" i="2"/>
  <c r="D456" i="2"/>
  <c r="C456" i="2"/>
  <c r="C295" i="2"/>
  <c r="D295" i="2"/>
  <c r="H563" i="2"/>
  <c r="I563" i="2"/>
  <c r="I546" i="2"/>
  <c r="H546" i="2"/>
  <c r="H613" i="2"/>
  <c r="I613" i="2"/>
  <c r="D607" i="2"/>
  <c r="C607" i="2"/>
  <c r="I609" i="2"/>
  <c r="H609" i="2"/>
  <c r="D663" i="2"/>
  <c r="C663" i="2"/>
  <c r="I392" i="2"/>
  <c r="H392" i="2"/>
  <c r="D646" i="2"/>
  <c r="C646" i="2"/>
  <c r="I662" i="2"/>
  <c r="H662" i="2"/>
  <c r="C486" i="2"/>
  <c r="D486" i="2"/>
  <c r="C614" i="2"/>
  <c r="D614" i="2"/>
  <c r="C524" i="2"/>
  <c r="D524" i="2"/>
  <c r="C494" i="2"/>
  <c r="D494" i="2"/>
  <c r="D580" i="2"/>
  <c r="C580" i="2"/>
  <c r="D750" i="2"/>
  <c r="C750" i="2"/>
  <c r="I291" i="2"/>
  <c r="H291" i="2"/>
  <c r="C708" i="2"/>
  <c r="D708" i="2"/>
  <c r="H746" i="2"/>
  <c r="I746" i="2"/>
  <c r="H362" i="2"/>
  <c r="I362" i="2"/>
  <c r="D677" i="2"/>
  <c r="C677" i="2"/>
  <c r="C672" i="2"/>
  <c r="D672" i="2"/>
  <c r="C498" i="2"/>
  <c r="D498" i="2"/>
  <c r="I755" i="2"/>
  <c r="H755" i="2"/>
  <c r="I472" i="2"/>
  <c r="H472" i="2"/>
  <c r="I374" i="2"/>
  <c r="H374" i="2"/>
  <c r="I564" i="2"/>
  <c r="H564" i="2"/>
  <c r="C768" i="2"/>
  <c r="D768" i="2"/>
  <c r="D714" i="2"/>
  <c r="C714" i="2"/>
  <c r="I303" i="2"/>
  <c r="H303" i="2"/>
  <c r="D645" i="2"/>
  <c r="C645" i="2"/>
  <c r="C358" i="2"/>
  <c r="D358" i="2"/>
  <c r="D638" i="2"/>
  <c r="C638" i="2"/>
  <c r="I481" i="2"/>
  <c r="H481" i="2"/>
  <c r="C275" i="2"/>
  <c r="D275" i="2"/>
  <c r="H488" i="2"/>
  <c r="I488" i="2"/>
  <c r="C527" i="2"/>
  <c r="D527" i="2"/>
  <c r="C529" i="2"/>
  <c r="D529" i="2"/>
  <c r="D277" i="2"/>
  <c r="C277" i="2"/>
  <c r="H514" i="2"/>
  <c r="I514" i="2"/>
  <c r="D562" i="2"/>
  <c r="C562" i="2"/>
  <c r="D378" i="2"/>
  <c r="C378" i="2"/>
  <c r="H732" i="2"/>
  <c r="I732" i="2"/>
  <c r="I272" i="2"/>
  <c r="H272" i="2"/>
  <c r="C581" i="2"/>
  <c r="D581" i="2"/>
  <c r="I626" i="2"/>
  <c r="H626" i="2"/>
  <c r="D352" i="2"/>
  <c r="C352" i="2"/>
  <c r="I501" i="2"/>
  <c r="H501" i="2"/>
  <c r="D558" i="2"/>
  <c r="C558" i="2"/>
  <c r="H652" i="2"/>
  <c r="I652" i="2"/>
  <c r="H400" i="2"/>
  <c r="I400" i="2"/>
  <c r="I596" i="2"/>
  <c r="H596" i="2"/>
  <c r="D733" i="2"/>
  <c r="C733" i="2"/>
  <c r="H367" i="2"/>
  <c r="I367" i="2"/>
  <c r="W161" i="2"/>
  <c r="AB161" i="2"/>
  <c r="R161" i="2"/>
  <c r="M161" i="2"/>
  <c r="H161" i="2" s="1"/>
  <c r="AD158" i="2"/>
  <c r="Y158" i="2"/>
  <c r="O158" i="2"/>
  <c r="J158" i="2" s="1"/>
  <c r="T158" i="2"/>
  <c r="Z153" i="2"/>
  <c r="P153" i="2"/>
  <c r="K153" i="2" s="1"/>
  <c r="U153" i="2"/>
  <c r="AE153" i="2"/>
  <c r="V151" i="2"/>
  <c r="AA151" i="2"/>
  <c r="Q151" i="2"/>
  <c r="L151" i="2" s="1"/>
  <c r="AF151" i="2"/>
  <c r="X158" i="2"/>
  <c r="N158" i="2"/>
  <c r="I158" i="2" s="1"/>
  <c r="AC158" i="2"/>
  <c r="S158" i="2"/>
  <c r="AJ153" i="2"/>
  <c r="AN153" i="2"/>
  <c r="AO153" i="2"/>
  <c r="AK153" i="2"/>
  <c r="AP153" i="2"/>
  <c r="AM153" i="2"/>
  <c r="AG153" i="2"/>
  <c r="AH153" i="2"/>
  <c r="AL153" i="2"/>
  <c r="AI153" i="2"/>
  <c r="AJ160" i="2"/>
  <c r="AM160" i="2"/>
  <c r="AO160" i="2"/>
  <c r="AG160" i="2"/>
  <c r="AH160" i="2"/>
  <c r="AI160" i="2"/>
  <c r="AL160" i="2"/>
  <c r="AP160" i="2"/>
  <c r="AK160" i="2"/>
  <c r="AN160" i="2"/>
  <c r="D328" i="2"/>
  <c r="C328" i="2"/>
  <c r="H678" i="2"/>
  <c r="I678" i="2"/>
  <c r="H395" i="2"/>
  <c r="I395" i="2"/>
  <c r="D323" i="2"/>
  <c r="C323" i="2"/>
  <c r="I494" i="2"/>
  <c r="H494" i="2"/>
  <c r="H607" i="2"/>
  <c r="I607" i="2"/>
  <c r="C319" i="2"/>
  <c r="D319" i="2"/>
  <c r="D365" i="2"/>
  <c r="C365" i="2"/>
  <c r="D523" i="2"/>
  <c r="C523" i="2"/>
  <c r="H513" i="2"/>
  <c r="I513" i="2"/>
  <c r="D312" i="2"/>
  <c r="C312" i="2"/>
  <c r="C419" i="2"/>
  <c r="D419" i="2"/>
  <c r="D673" i="2"/>
  <c r="C673" i="2"/>
  <c r="H694" i="2"/>
  <c r="I694" i="2"/>
  <c r="H443" i="2"/>
  <c r="I443" i="2"/>
  <c r="C747" i="2"/>
  <c r="D747" i="2"/>
  <c r="I357" i="2"/>
  <c r="H357" i="2"/>
  <c r="H571" i="2"/>
  <c r="I571" i="2"/>
  <c r="I372" i="2"/>
  <c r="H372" i="2"/>
  <c r="H493" i="2"/>
  <c r="I493" i="2"/>
  <c r="D443" i="2"/>
  <c r="C443" i="2"/>
  <c r="H327" i="2"/>
  <c r="I327" i="2"/>
  <c r="C423" i="2"/>
  <c r="D423" i="2"/>
  <c r="I579" i="2"/>
  <c r="H579" i="2"/>
  <c r="D472" i="2"/>
  <c r="C472" i="2"/>
  <c r="H531" i="2"/>
  <c r="I531" i="2"/>
  <c r="D590" i="2"/>
  <c r="C590" i="2"/>
  <c r="D701" i="2"/>
  <c r="C701" i="2"/>
  <c r="C760" i="2"/>
  <c r="D760" i="2"/>
  <c r="C283" i="2"/>
  <c r="D283" i="2"/>
  <c r="I456" i="2"/>
  <c r="H456" i="2"/>
  <c r="H399" i="2"/>
  <c r="I399" i="2"/>
  <c r="D487" i="2"/>
  <c r="C487" i="2"/>
  <c r="H282" i="2"/>
  <c r="I282" i="2"/>
  <c r="C767" i="2"/>
  <c r="D767" i="2"/>
  <c r="C544" i="2"/>
  <c r="D544" i="2"/>
  <c r="H465" i="2"/>
  <c r="I465" i="2"/>
  <c r="C717" i="2"/>
  <c r="D717" i="2"/>
  <c r="I697" i="2"/>
  <c r="H697" i="2"/>
  <c r="C587" i="2"/>
  <c r="D587" i="2"/>
  <c r="D602" i="2"/>
  <c r="C602" i="2"/>
  <c r="C449" i="2"/>
  <c r="D449" i="2"/>
  <c r="H446" i="2"/>
  <c r="I446" i="2"/>
  <c r="I288" i="2"/>
  <c r="H288" i="2"/>
  <c r="H338" i="2"/>
  <c r="I338" i="2"/>
  <c r="C463" i="2"/>
  <c r="D463" i="2"/>
  <c r="I556" i="2"/>
  <c r="H556" i="2"/>
  <c r="I478" i="2"/>
  <c r="H478" i="2"/>
  <c r="D451" i="2"/>
  <c r="C451" i="2"/>
  <c r="H550" i="2"/>
  <c r="I550" i="2"/>
  <c r="D418" i="2"/>
  <c r="C418" i="2"/>
  <c r="H684" i="2"/>
  <c r="I684" i="2"/>
  <c r="I648" i="2"/>
  <c r="H648" i="2"/>
  <c r="C337" i="2"/>
  <c r="D337" i="2"/>
  <c r="H520" i="2"/>
  <c r="I520" i="2"/>
  <c r="H492" i="2"/>
  <c r="I492" i="2"/>
  <c r="C390" i="2"/>
  <c r="D390" i="2"/>
  <c r="H522" i="2"/>
  <c r="I522" i="2"/>
  <c r="C665" i="2"/>
  <c r="D665" i="2"/>
  <c r="H487" i="2"/>
  <c r="I487" i="2"/>
  <c r="I527" i="2"/>
  <c r="H527" i="2"/>
  <c r="I533" i="2"/>
  <c r="H533" i="2"/>
  <c r="D671" i="2"/>
  <c r="C671" i="2"/>
  <c r="I642" i="2"/>
  <c r="H642" i="2"/>
  <c r="I467" i="2"/>
  <c r="H467" i="2"/>
  <c r="D273" i="2"/>
  <c r="C273" i="2"/>
  <c r="I757" i="2"/>
  <c r="H757" i="2"/>
  <c r="H296" i="2"/>
  <c r="I296" i="2"/>
  <c r="H691" i="2"/>
  <c r="I691" i="2"/>
  <c r="C366" i="2"/>
  <c r="D366" i="2"/>
  <c r="C582" i="2"/>
  <c r="D582" i="2"/>
  <c r="D399" i="2"/>
  <c r="C399" i="2"/>
  <c r="D491" i="2"/>
  <c r="C491" i="2"/>
  <c r="C302" i="2"/>
  <c r="D302" i="2"/>
  <c r="I376" i="2"/>
  <c r="H376" i="2"/>
  <c r="H706" i="2"/>
  <c r="I706" i="2"/>
  <c r="H720" i="2"/>
  <c r="I720" i="2"/>
  <c r="I709" i="2"/>
  <c r="H709" i="2"/>
  <c r="D649" i="2"/>
  <c r="C649" i="2"/>
  <c r="I365" i="2"/>
  <c r="H365" i="2"/>
  <c r="D571" i="2"/>
  <c r="C571" i="2"/>
  <c r="C461" i="2"/>
  <c r="D461" i="2"/>
  <c r="H474" i="2"/>
  <c r="I474" i="2"/>
  <c r="D476" i="2"/>
  <c r="C476" i="2"/>
  <c r="H604" i="2"/>
  <c r="I604" i="2"/>
  <c r="I403" i="2"/>
  <c r="H403" i="2"/>
  <c r="I616" i="2"/>
  <c r="H616" i="2"/>
  <c r="C635" i="2"/>
  <c r="D635" i="2"/>
  <c r="I370" i="2"/>
  <c r="H370" i="2"/>
  <c r="D765" i="2"/>
  <c r="C765" i="2"/>
  <c r="D538" i="2"/>
  <c r="C538" i="2"/>
  <c r="I354" i="2"/>
  <c r="H354" i="2"/>
  <c r="I274" i="2"/>
  <c r="H274" i="2"/>
  <c r="C668" i="2"/>
  <c r="D668" i="2"/>
  <c r="D654" i="2"/>
  <c r="C654" i="2"/>
  <c r="I309" i="2"/>
  <c r="H309" i="2"/>
  <c r="D288" i="2"/>
  <c r="C288" i="2"/>
  <c r="C495" i="2"/>
  <c r="D495" i="2"/>
  <c r="D343" i="2"/>
  <c r="C343" i="2"/>
  <c r="H382" i="2"/>
  <c r="I382" i="2"/>
  <c r="D574" i="2"/>
  <c r="C574" i="2"/>
  <c r="D749" i="2"/>
  <c r="C749" i="2"/>
  <c r="C537" i="2"/>
  <c r="D537" i="2"/>
  <c r="D627" i="2"/>
  <c r="C627" i="2"/>
  <c r="I710" i="2"/>
  <c r="H710" i="2"/>
  <c r="I453" i="2"/>
  <c r="H453" i="2"/>
  <c r="C350" i="2"/>
  <c r="D350" i="2"/>
  <c r="I416" i="2"/>
  <c r="H416" i="2"/>
  <c r="I552" i="2"/>
  <c r="H552" i="2"/>
  <c r="C381" i="2"/>
  <c r="D381" i="2"/>
  <c r="D728" i="2"/>
  <c r="C728" i="2"/>
  <c r="D448" i="2"/>
  <c r="C448" i="2"/>
  <c r="D464" i="2"/>
  <c r="C464" i="2"/>
  <c r="C550" i="2"/>
  <c r="D550" i="2"/>
  <c r="H284" i="2"/>
  <c r="I284" i="2"/>
  <c r="I390" i="2"/>
  <c r="H390" i="2"/>
  <c r="D298" i="2"/>
  <c r="C298" i="2"/>
  <c r="H771" i="2"/>
  <c r="I771" i="2"/>
  <c r="C425" i="2"/>
  <c r="D425" i="2"/>
  <c r="H594" i="2"/>
  <c r="I594" i="2"/>
  <c r="D575" i="2"/>
  <c r="C575" i="2"/>
  <c r="H590" i="2"/>
  <c r="I590" i="2"/>
  <c r="C430" i="2"/>
  <c r="D430" i="2"/>
  <c r="H629" i="2"/>
  <c r="I629" i="2"/>
  <c r="I366" i="2"/>
  <c r="H366" i="2"/>
  <c r="C437" i="2"/>
  <c r="D437" i="2"/>
  <c r="AB154" i="2"/>
  <c r="R154" i="2"/>
  <c r="W154" i="2"/>
  <c r="M154" i="2"/>
  <c r="H154" i="2" s="1"/>
  <c r="AD155" i="2"/>
  <c r="T155" i="2"/>
  <c r="O155" i="2"/>
  <c r="J155" i="2" s="1"/>
  <c r="Y155" i="2"/>
  <c r="Z152" i="2"/>
  <c r="P152" i="2"/>
  <c r="K152" i="2" s="1"/>
  <c r="AE152" i="2"/>
  <c r="U152" i="2"/>
  <c r="AF155" i="2"/>
  <c r="AA155" i="2"/>
  <c r="Q155" i="2"/>
  <c r="L155" i="2" s="1"/>
  <c r="V155" i="2"/>
  <c r="S151" i="2"/>
  <c r="X151" i="2"/>
  <c r="N151" i="2"/>
  <c r="I151" i="2" s="1"/>
  <c r="AC151" i="2"/>
  <c r="AH155" i="2"/>
  <c r="AG155" i="2"/>
  <c r="AL155" i="2"/>
  <c r="AJ155" i="2"/>
  <c r="AK155" i="2"/>
  <c r="AI155" i="2"/>
  <c r="AO155" i="2"/>
  <c r="AM155" i="2"/>
  <c r="AP155" i="2"/>
  <c r="AN155" i="2"/>
  <c r="C281" i="2"/>
  <c r="D281" i="2"/>
  <c r="H731" i="2"/>
  <c r="I731" i="2"/>
  <c r="D729" i="2"/>
  <c r="C729" i="2"/>
  <c r="C315" i="2"/>
  <c r="D315" i="2"/>
  <c r="C325" i="2"/>
  <c r="D325" i="2"/>
  <c r="H322" i="2"/>
  <c r="I322" i="2"/>
  <c r="D739" i="2"/>
  <c r="C739" i="2"/>
  <c r="I729" i="2"/>
  <c r="H729" i="2"/>
  <c r="H519" i="2"/>
  <c r="I519" i="2"/>
  <c r="D769" i="2"/>
  <c r="C769" i="2"/>
  <c r="D348" i="2"/>
  <c r="C348" i="2"/>
  <c r="D370" i="2"/>
  <c r="C370" i="2"/>
  <c r="H439" i="2"/>
  <c r="I439" i="2"/>
  <c r="D685" i="2"/>
  <c r="C685" i="2"/>
  <c r="H705" i="2"/>
  <c r="I705" i="2"/>
  <c r="H279" i="2"/>
  <c r="I279" i="2"/>
  <c r="C357" i="2"/>
  <c r="D357" i="2"/>
  <c r="D758" i="2"/>
  <c r="C758" i="2"/>
  <c r="D670" i="2"/>
  <c r="C670" i="2"/>
  <c r="H577" i="2"/>
  <c r="I577" i="2"/>
  <c r="H541" i="2"/>
  <c r="I541" i="2"/>
  <c r="C601" i="2"/>
  <c r="D601" i="2"/>
  <c r="H573" i="2"/>
  <c r="I573" i="2"/>
  <c r="I386" i="2"/>
  <c r="H386" i="2"/>
  <c r="H657" i="2"/>
  <c r="I657" i="2"/>
  <c r="I674" i="2"/>
  <c r="H674" i="2"/>
  <c r="H687" i="2"/>
  <c r="I687" i="2"/>
  <c r="H346" i="2"/>
  <c r="I346" i="2"/>
  <c r="D559" i="2"/>
  <c r="C559" i="2"/>
  <c r="C306" i="2"/>
  <c r="D306" i="2"/>
  <c r="D570" i="2"/>
  <c r="C570" i="2"/>
  <c r="D604" i="2"/>
  <c r="C604" i="2"/>
  <c r="D540" i="2"/>
  <c r="C540" i="2"/>
  <c r="I660" i="2"/>
  <c r="H660" i="2"/>
  <c r="D310" i="2"/>
  <c r="C310" i="2"/>
  <c r="D338" i="2"/>
  <c r="C338" i="2"/>
  <c r="D567" i="2"/>
  <c r="C567" i="2"/>
  <c r="C625" i="2"/>
  <c r="D625" i="2"/>
  <c r="H549" i="2"/>
  <c r="I549" i="2"/>
  <c r="I598" i="2"/>
  <c r="H598" i="2"/>
  <c r="H385" i="2"/>
  <c r="I385" i="2"/>
  <c r="C618" i="2"/>
  <c r="D618" i="2"/>
  <c r="H421" i="2"/>
  <c r="I421" i="2"/>
  <c r="I672" i="2"/>
  <c r="H672" i="2"/>
  <c r="I615" i="2"/>
  <c r="H615" i="2"/>
  <c r="I542" i="2"/>
  <c r="H542" i="2"/>
  <c r="C318" i="2"/>
  <c r="D318" i="2"/>
  <c r="H510" i="2"/>
  <c r="I510" i="2"/>
  <c r="H717" i="2"/>
  <c r="I717" i="2"/>
  <c r="C276" i="2"/>
  <c r="D276" i="2"/>
  <c r="I682" i="2"/>
  <c r="H682" i="2"/>
  <c r="C488" i="2"/>
  <c r="D488" i="2"/>
  <c r="H762" i="2"/>
  <c r="I762" i="2"/>
  <c r="D738" i="2"/>
  <c r="C738" i="2"/>
  <c r="H368" i="2"/>
  <c r="I368" i="2"/>
  <c r="D707" i="2"/>
  <c r="C707" i="2"/>
  <c r="C311" i="2"/>
  <c r="D311" i="2"/>
  <c r="D510" i="2"/>
  <c r="C510" i="2"/>
  <c r="D450" i="2"/>
  <c r="C450" i="2"/>
  <c r="D507" i="2"/>
  <c r="C507" i="2"/>
  <c r="I512" i="2"/>
  <c r="H512" i="2"/>
  <c r="I559" i="2"/>
  <c r="H559" i="2"/>
  <c r="I639" i="2"/>
  <c r="H639" i="2"/>
  <c r="C583" i="2"/>
  <c r="D583" i="2"/>
  <c r="D712" i="2"/>
  <c r="C712" i="2"/>
  <c r="D424" i="2"/>
  <c r="C424" i="2"/>
  <c r="D466" i="2"/>
  <c r="C466" i="2"/>
  <c r="H736" i="2"/>
  <c r="I736" i="2"/>
  <c r="H379" i="2"/>
  <c r="I379" i="2"/>
  <c r="I294" i="2"/>
  <c r="H294" i="2"/>
  <c r="I495" i="2"/>
  <c r="H495" i="2"/>
  <c r="B269" i="2"/>
  <c r="B268" i="2"/>
  <c r="I638" i="2"/>
  <c r="H638" i="2"/>
  <c r="D301" i="2"/>
  <c r="C301" i="2"/>
  <c r="H511" i="2"/>
  <c r="I511" i="2"/>
  <c r="D349" i="2"/>
  <c r="C349" i="2"/>
  <c r="I436" i="2"/>
  <c r="H436" i="2"/>
  <c r="D344" i="2"/>
  <c r="C344" i="2"/>
  <c r="H555" i="2"/>
  <c r="I555" i="2"/>
  <c r="I583" i="2"/>
  <c r="H583" i="2"/>
  <c r="H553" i="2"/>
  <c r="I553" i="2"/>
  <c r="H753" i="2"/>
  <c r="I753" i="2"/>
  <c r="D681" i="2"/>
  <c r="C681" i="2"/>
  <c r="C683" i="2"/>
  <c r="D683" i="2"/>
  <c r="D361" i="2"/>
  <c r="C361" i="2"/>
  <c r="H640" i="2"/>
  <c r="I640" i="2"/>
  <c r="I358" i="2"/>
  <c r="H358" i="2"/>
  <c r="C748" i="2"/>
  <c r="D748" i="2"/>
  <c r="I290" i="2"/>
  <c r="H290" i="2"/>
  <c r="H580" i="2"/>
  <c r="I580" i="2"/>
  <c r="C373" i="2"/>
  <c r="D373" i="2"/>
  <c r="H437" i="2"/>
  <c r="I437" i="2"/>
  <c r="D643" i="2"/>
  <c r="C643" i="2"/>
  <c r="C612" i="2"/>
  <c r="D612" i="2"/>
  <c r="C586" i="2"/>
  <c r="D586" i="2"/>
  <c r="I273" i="2"/>
  <c r="H273" i="2"/>
  <c r="D599" i="2"/>
  <c r="C599" i="2"/>
  <c r="C410" i="2"/>
  <c r="D410" i="2"/>
  <c r="C632" i="2"/>
  <c r="D632" i="2"/>
  <c r="I665" i="2"/>
  <c r="H665" i="2"/>
  <c r="I502" i="2"/>
  <c r="H502" i="2"/>
  <c r="D356" i="2"/>
  <c r="C356" i="2"/>
  <c r="I300" i="2"/>
  <c r="H300" i="2"/>
  <c r="D305" i="2"/>
  <c r="C305" i="2"/>
  <c r="D533" i="2"/>
  <c r="C533" i="2"/>
  <c r="D553" i="2"/>
  <c r="C553" i="2"/>
  <c r="H685" i="2"/>
  <c r="I685" i="2"/>
  <c r="H332" i="2"/>
  <c r="I332" i="2"/>
  <c r="D422" i="2"/>
  <c r="C422" i="2"/>
  <c r="C457" i="2"/>
  <c r="D457" i="2"/>
  <c r="H600" i="2"/>
  <c r="I600" i="2"/>
  <c r="D475" i="2"/>
  <c r="C475" i="2"/>
  <c r="D445" i="2"/>
  <c r="C445" i="2"/>
  <c r="C326" i="2"/>
  <c r="D326" i="2"/>
  <c r="D266" i="2"/>
  <c r="B266" i="2"/>
  <c r="C266" i="2"/>
  <c r="C680" i="2"/>
  <c r="D680" i="2"/>
  <c r="H479" i="2"/>
  <c r="I479" i="2"/>
  <c r="R153" i="2"/>
  <c r="M153" i="2"/>
  <c r="H153" i="2" s="1"/>
  <c r="W153" i="2"/>
  <c r="AB153" i="2"/>
  <c r="T157" i="2"/>
  <c r="O157" i="2"/>
  <c r="J157" i="2" s="1"/>
  <c r="Y157" i="2"/>
  <c r="AD157" i="2"/>
  <c r="Z158" i="2"/>
  <c r="U158" i="2"/>
  <c r="P158" i="2"/>
  <c r="K158" i="2" s="1"/>
  <c r="AE158" i="2"/>
  <c r="Z154" i="2"/>
  <c r="U154" i="2"/>
  <c r="P154" i="2"/>
  <c r="K154" i="2" s="1"/>
  <c r="AE154" i="2"/>
  <c r="AA158" i="2"/>
  <c r="AF158" i="2"/>
  <c r="V158" i="2"/>
  <c r="Q158" i="2"/>
  <c r="L158" i="2" s="1"/>
  <c r="S152" i="2"/>
  <c r="AC152" i="2"/>
  <c r="X152" i="2"/>
  <c r="N152" i="2"/>
  <c r="I152" i="2" s="1"/>
  <c r="AM159" i="2"/>
  <c r="AJ159" i="2"/>
  <c r="AL159" i="2"/>
  <c r="AH159" i="2"/>
  <c r="AG159" i="2"/>
  <c r="AO159" i="2"/>
  <c r="AP159" i="2"/>
  <c r="AK159" i="2"/>
  <c r="AN159" i="2"/>
  <c r="AI159" i="2"/>
  <c r="C756" i="2"/>
  <c r="D756" i="2"/>
  <c r="C561" i="2"/>
  <c r="D561" i="2"/>
  <c r="I530" i="2"/>
  <c r="H530" i="2"/>
  <c r="C431" i="2"/>
  <c r="D431" i="2"/>
  <c r="D392" i="2"/>
  <c r="C392" i="2"/>
  <c r="C713" i="2"/>
  <c r="D713" i="2"/>
  <c r="H724" i="2"/>
  <c r="I724" i="2"/>
  <c r="D324" i="2"/>
  <c r="C324" i="2"/>
  <c r="I597" i="2"/>
  <c r="H597" i="2"/>
  <c r="AO151" i="2"/>
  <c r="AH151" i="2"/>
  <c r="AJ151" i="2"/>
  <c r="AP151" i="2"/>
  <c r="AM151" i="2"/>
  <c r="AK151" i="2"/>
  <c r="AL151" i="2"/>
  <c r="AG151" i="2"/>
  <c r="AI151" i="2"/>
  <c r="AN151" i="2"/>
  <c r="H143" i="2"/>
  <c r="C141" i="2"/>
  <c r="H145" i="2"/>
  <c r="H142" i="2"/>
  <c r="C145" i="2"/>
  <c r="H141" i="2"/>
  <c r="H144" i="2"/>
  <c r="C144" i="2"/>
  <c r="C142" i="2"/>
  <c r="G142" i="2"/>
  <c r="J142" i="2" s="1"/>
  <c r="B142" i="2"/>
  <c r="E142" i="2" s="1"/>
  <c r="B143" i="2"/>
  <c r="E143" i="2" s="1"/>
  <c r="B145" i="2"/>
  <c r="E145" i="2" s="1"/>
  <c r="F145" i="2" s="1"/>
  <c r="B213" i="2" s="1"/>
  <c r="C143" i="2"/>
  <c r="G143" i="2"/>
  <c r="J143" i="2" s="1"/>
  <c r="B144" i="2"/>
  <c r="E144" i="2" s="1"/>
  <c r="F144" i="2" s="1"/>
  <c r="B212" i="2" s="1"/>
  <c r="G144" i="2"/>
  <c r="J144" i="2" s="1"/>
  <c r="G145" i="2"/>
  <c r="J145" i="2" s="1"/>
  <c r="B141" i="2"/>
  <c r="E141" i="2" s="1"/>
  <c r="G141" i="2"/>
  <c r="J141" i="2" s="1"/>
  <c r="D329" i="2"/>
  <c r="C329" i="2"/>
  <c r="I389" i="2"/>
  <c r="H389" i="2"/>
  <c r="D508" i="2"/>
  <c r="C508" i="2"/>
  <c r="C655" i="2"/>
  <c r="D655" i="2"/>
  <c r="H430" i="2"/>
  <c r="I430" i="2"/>
  <c r="D383" i="2"/>
  <c r="C383" i="2"/>
  <c r="C534" i="2"/>
  <c r="D534" i="2"/>
  <c r="C505" i="2"/>
  <c r="D505" i="2"/>
  <c r="I698" i="2"/>
  <c r="H698" i="2"/>
  <c r="I323" i="2"/>
  <c r="H323" i="2"/>
  <c r="H484" i="2"/>
  <c r="I484" i="2"/>
  <c r="D438" i="2"/>
  <c r="C438" i="2"/>
  <c r="H589" i="2"/>
  <c r="I589" i="2"/>
  <c r="D659" i="2"/>
  <c r="C659" i="2"/>
  <c r="C502" i="2"/>
  <c r="D502" i="2"/>
  <c r="D593" i="2"/>
  <c r="C593" i="2"/>
  <c r="C700" i="2"/>
  <c r="D700" i="2"/>
  <c r="H630" i="2"/>
  <c r="I630" i="2"/>
  <c r="I517" i="2"/>
  <c r="H517" i="2"/>
  <c r="H632" i="2"/>
  <c r="I632" i="2"/>
  <c r="H429" i="2"/>
  <c r="I429" i="2"/>
  <c r="H750" i="2"/>
  <c r="I750" i="2"/>
  <c r="I614" i="2"/>
  <c r="H614" i="2"/>
  <c r="D489" i="2"/>
  <c r="C489" i="2"/>
  <c r="D317" i="2"/>
  <c r="C317" i="2"/>
  <c r="H714" i="2"/>
  <c r="I714" i="2"/>
  <c r="H675" i="2"/>
  <c r="I675" i="2"/>
  <c r="D293" i="2"/>
  <c r="C293" i="2"/>
  <c r="C504" i="2"/>
  <c r="D504" i="2"/>
  <c r="I599" i="2"/>
  <c r="H599" i="2"/>
  <c r="I450" i="2"/>
  <c r="H450" i="2"/>
  <c r="H412" i="2"/>
  <c r="I412" i="2"/>
  <c r="C517" i="2"/>
  <c r="D517" i="2"/>
  <c r="H369" i="2"/>
  <c r="I369" i="2"/>
  <c r="H689" i="2"/>
  <c r="I689" i="2"/>
  <c r="D688" i="2"/>
  <c r="C688" i="2"/>
  <c r="H612" i="2"/>
  <c r="I612" i="2"/>
  <c r="H408" i="2"/>
  <c r="I408" i="2"/>
  <c r="I692" i="2"/>
  <c r="H692" i="2"/>
  <c r="I431" i="2"/>
  <c r="H431" i="2"/>
  <c r="C279" i="2"/>
  <c r="D279" i="2"/>
  <c r="D455" i="2"/>
  <c r="C455" i="2"/>
  <c r="H712" i="2"/>
  <c r="I712" i="2"/>
  <c r="I314" i="2"/>
  <c r="H314" i="2"/>
  <c r="C335" i="2"/>
  <c r="D335" i="2"/>
  <c r="I606" i="2"/>
  <c r="H606" i="2"/>
  <c r="D467" i="2"/>
  <c r="C467" i="2"/>
  <c r="C579" i="2"/>
  <c r="D579" i="2"/>
  <c r="H304" i="2"/>
  <c r="I304" i="2"/>
  <c r="H281" i="2"/>
  <c r="I281" i="2"/>
  <c r="H398" i="2"/>
  <c r="I398" i="2"/>
  <c r="D641" i="2"/>
  <c r="C641" i="2"/>
  <c r="H396" i="2"/>
  <c r="I396" i="2"/>
  <c r="D539" i="2"/>
  <c r="C539" i="2"/>
  <c r="C394" i="2"/>
  <c r="D394" i="2"/>
  <c r="D322" i="2"/>
  <c r="C322" i="2"/>
  <c r="D757" i="2"/>
  <c r="C757" i="2"/>
  <c r="C420" i="2"/>
  <c r="D420" i="2"/>
  <c r="H701" i="2"/>
  <c r="I701" i="2"/>
  <c r="H557" i="2"/>
  <c r="I557" i="2"/>
  <c r="D716" i="2"/>
  <c r="C716" i="2"/>
  <c r="H661" i="2"/>
  <c r="I661" i="2"/>
  <c r="D481" i="2"/>
  <c r="C481" i="2"/>
  <c r="I524" i="2"/>
  <c r="H524" i="2"/>
  <c r="D330" i="2"/>
  <c r="C330" i="2"/>
  <c r="C332" i="2"/>
  <c r="D332" i="2"/>
  <c r="C543" i="2"/>
  <c r="D543" i="2"/>
  <c r="I754" i="2"/>
  <c r="H754" i="2"/>
  <c r="I703" i="2"/>
  <c r="H703" i="2"/>
  <c r="H602" i="2"/>
  <c r="I602" i="2"/>
  <c r="H525" i="2"/>
  <c r="I525" i="2"/>
  <c r="C307" i="2"/>
  <c r="D307" i="2"/>
  <c r="H643" i="2"/>
  <c r="I643" i="2"/>
  <c r="D363" i="2"/>
  <c r="C363" i="2"/>
  <c r="H320" i="2"/>
  <c r="I320" i="2"/>
  <c r="C497" i="2"/>
  <c r="D497" i="2"/>
  <c r="C624" i="2"/>
  <c r="D624" i="2"/>
  <c r="I343" i="2"/>
  <c r="H343" i="2"/>
  <c r="H393" i="2"/>
  <c r="I393" i="2"/>
  <c r="I470" i="2"/>
  <c r="H470" i="2"/>
  <c r="I330" i="2"/>
  <c r="H330" i="2"/>
  <c r="D766" i="2"/>
  <c r="C766" i="2"/>
  <c r="D676" i="2"/>
  <c r="C676" i="2"/>
  <c r="I617" i="2"/>
  <c r="H617" i="2"/>
  <c r="D353" i="2"/>
  <c r="C353" i="2"/>
  <c r="D617" i="2"/>
  <c r="C617" i="2"/>
  <c r="D731" i="2"/>
  <c r="C731" i="2"/>
  <c r="H690" i="2"/>
  <c r="I690" i="2"/>
  <c r="C434" i="2"/>
  <c r="D434" i="2"/>
  <c r="H432" i="2"/>
  <c r="I432" i="2"/>
  <c r="H767" i="2"/>
  <c r="I767" i="2"/>
  <c r="D634" i="2"/>
  <c r="C634" i="2"/>
  <c r="I469" i="2"/>
  <c r="H469" i="2"/>
  <c r="I468" i="2"/>
  <c r="H468" i="2"/>
  <c r="D648" i="2"/>
  <c r="C648" i="2"/>
  <c r="C340" i="2"/>
  <c r="D340" i="2"/>
  <c r="C397" i="2"/>
  <c r="D397" i="2"/>
  <c r="H356" i="2"/>
  <c r="I356" i="2"/>
  <c r="D414" i="2"/>
  <c r="C414" i="2"/>
  <c r="C591" i="2"/>
  <c r="D591" i="2"/>
  <c r="H506" i="2"/>
  <c r="I506" i="2"/>
  <c r="C496" i="2"/>
  <c r="D496" i="2"/>
  <c r="I425" i="2"/>
  <c r="H425" i="2"/>
  <c r="H575" i="2"/>
  <c r="I575" i="2"/>
  <c r="C642" i="2"/>
  <c r="D642" i="2"/>
  <c r="D606" i="2"/>
  <c r="C606" i="2"/>
  <c r="C746" i="2"/>
  <c r="D746" i="2"/>
  <c r="I544" i="2"/>
  <c r="H544" i="2"/>
  <c r="C692" i="2"/>
  <c r="D692" i="2"/>
  <c r="C674" i="2"/>
  <c r="D674" i="2"/>
  <c r="I308" i="2"/>
  <c r="H308" i="2"/>
  <c r="D292" i="2"/>
  <c r="C292" i="2"/>
  <c r="I772" i="2"/>
  <c r="H772" i="2"/>
  <c r="C662" i="2"/>
  <c r="D662" i="2"/>
  <c r="H578" i="2"/>
  <c r="I578" i="2"/>
  <c r="I535" i="2"/>
  <c r="H535" i="2"/>
  <c r="D433" i="2"/>
  <c r="C433" i="2"/>
  <c r="C479" i="2"/>
  <c r="D479" i="2"/>
  <c r="I355" i="2"/>
  <c r="H355" i="2"/>
  <c r="D528" i="2"/>
  <c r="C528" i="2"/>
  <c r="I349" i="2"/>
  <c r="H349" i="2"/>
  <c r="D745" i="2"/>
  <c r="C745" i="2"/>
  <c r="H499" i="2"/>
  <c r="I499" i="2"/>
  <c r="H441" i="2"/>
  <c r="I441" i="2"/>
  <c r="H637" i="2"/>
  <c r="I637" i="2"/>
  <c r="H649" i="2"/>
  <c r="I649" i="2"/>
  <c r="R152" i="2"/>
  <c r="AB152" i="2"/>
  <c r="W152" i="2"/>
  <c r="M152" i="2"/>
  <c r="H152" i="2" s="1"/>
  <c r="O161" i="2"/>
  <c r="J161" i="2" s="1"/>
  <c r="AD161" i="2"/>
  <c r="T161" i="2"/>
  <c r="Y161" i="2"/>
  <c r="AE155" i="2"/>
  <c r="P155" i="2"/>
  <c r="K155" i="2" s="1"/>
  <c r="Z155" i="2"/>
  <c r="U155" i="2"/>
  <c r="AE159" i="2"/>
  <c r="P159" i="2"/>
  <c r="K159" i="2" s="1"/>
  <c r="Z159" i="2"/>
  <c r="U159" i="2"/>
  <c r="V153" i="2"/>
  <c r="Q153" i="2"/>
  <c r="L153" i="2" s="1"/>
  <c r="AF153" i="2"/>
  <c r="AA153" i="2"/>
  <c r="N155" i="2"/>
  <c r="I155" i="2" s="1"/>
  <c r="S155" i="2"/>
  <c r="X155" i="2"/>
  <c r="AC155" i="2"/>
  <c r="AN152" i="2"/>
  <c r="AO152" i="2"/>
  <c r="AK152" i="2"/>
  <c r="AL152" i="2"/>
  <c r="AG152" i="2"/>
  <c r="AH152" i="2"/>
  <c r="AJ152" i="2"/>
  <c r="AI152" i="2"/>
  <c r="AP152" i="2"/>
  <c r="AM152" i="2"/>
  <c r="D735" i="2"/>
  <c r="C735" i="2"/>
  <c r="D440" i="2"/>
  <c r="C440" i="2"/>
  <c r="D282" i="2"/>
  <c r="C282" i="2"/>
  <c r="D512" i="2"/>
  <c r="C512" i="2"/>
  <c r="H741" i="2"/>
  <c r="I741" i="2"/>
  <c r="I287" i="2"/>
  <c r="H287" i="2"/>
  <c r="H277" i="2"/>
  <c r="I277" i="2"/>
  <c r="H743" i="2"/>
  <c r="I743" i="2"/>
  <c r="H673" i="2"/>
  <c r="I673" i="2"/>
  <c r="D316" i="2"/>
  <c r="C316" i="2"/>
  <c r="I554" i="2"/>
  <c r="H554" i="2"/>
  <c r="I413" i="2"/>
  <c r="H413" i="2"/>
  <c r="D407" i="2"/>
  <c r="C407" i="2"/>
  <c r="I647" i="2"/>
  <c r="H647" i="2"/>
  <c r="I721" i="2"/>
  <c r="H721" i="2"/>
  <c r="H433" i="2"/>
  <c r="I433" i="2"/>
  <c r="D289" i="2"/>
  <c r="C289" i="2"/>
  <c r="I324" i="2"/>
  <c r="H324" i="2"/>
  <c r="I764" i="2"/>
  <c r="H764" i="2"/>
  <c r="D404" i="2"/>
  <c r="C404" i="2"/>
  <c r="D478" i="2"/>
  <c r="C478" i="2"/>
  <c r="H503" i="2"/>
  <c r="I503" i="2"/>
  <c r="C347" i="2"/>
  <c r="D347" i="2"/>
  <c r="H391" i="2"/>
  <c r="I391" i="2"/>
  <c r="C754" i="2"/>
  <c r="D754" i="2"/>
  <c r="I623" i="2"/>
  <c r="H623" i="2"/>
  <c r="D721" i="2"/>
  <c r="C721" i="2"/>
  <c r="H560" i="2"/>
  <c r="I560" i="2"/>
  <c r="D409" i="2"/>
  <c r="C409" i="2"/>
  <c r="D744" i="2"/>
  <c r="C744" i="2"/>
  <c r="I587" i="2"/>
  <c r="H587" i="2"/>
  <c r="D465" i="2"/>
  <c r="C465" i="2"/>
  <c r="H476" i="2"/>
  <c r="I476" i="2"/>
  <c r="H534" i="2"/>
  <c r="I534" i="2"/>
  <c r="I434" i="2"/>
  <c r="H434" i="2"/>
  <c r="H373" i="2"/>
  <c r="I373" i="2"/>
  <c r="D462" i="2"/>
  <c r="C462" i="2"/>
  <c r="D368" i="2"/>
  <c r="C368" i="2"/>
  <c r="D600" i="2"/>
  <c r="C600" i="2"/>
  <c r="H654" i="2"/>
  <c r="I654" i="2"/>
  <c r="I518" i="2"/>
  <c r="H518" i="2"/>
  <c r="D421" i="2"/>
  <c r="C421" i="2"/>
  <c r="C513" i="2"/>
  <c r="D513" i="2"/>
  <c r="H402" i="2"/>
  <c r="I402" i="2"/>
  <c r="I536" i="2"/>
  <c r="H536" i="2"/>
  <c r="H345" i="2"/>
  <c r="I345" i="2"/>
  <c r="C588" i="2"/>
  <c r="D588" i="2"/>
  <c r="D520" i="2"/>
  <c r="C520" i="2"/>
  <c r="I667" i="2"/>
  <c r="H667" i="2"/>
  <c r="H498" i="2"/>
  <c r="I498" i="2"/>
  <c r="H363" i="2"/>
  <c r="I363" i="2"/>
  <c r="D400" i="2"/>
  <c r="C400" i="2"/>
  <c r="H740" i="2"/>
  <c r="I740" i="2"/>
  <c r="D704" i="2"/>
  <c r="C704" i="2"/>
  <c r="C656" i="2"/>
  <c r="D656" i="2"/>
  <c r="H463" i="2"/>
  <c r="I463" i="2"/>
  <c r="I540" i="2"/>
  <c r="H540" i="2"/>
  <c r="C291" i="2"/>
  <c r="D291" i="2"/>
  <c r="H380" i="2"/>
  <c r="I380" i="2"/>
  <c r="D287" i="2"/>
  <c r="C287" i="2"/>
  <c r="H620" i="2"/>
  <c r="I620" i="2"/>
  <c r="D364" i="2"/>
  <c r="C364" i="2"/>
  <c r="H331" i="2"/>
  <c r="I331" i="2"/>
  <c r="I644" i="2"/>
  <c r="H644" i="2"/>
  <c r="C403" i="2"/>
  <c r="D403" i="2"/>
  <c r="H490" i="2"/>
  <c r="I490" i="2"/>
  <c r="C428" i="2"/>
  <c r="D428" i="2"/>
  <c r="D552" i="2"/>
  <c r="C552" i="2"/>
  <c r="C556" i="2"/>
  <c r="D556" i="2"/>
  <c r="H507" i="2"/>
  <c r="I507" i="2"/>
  <c r="H707" i="2"/>
  <c r="I707" i="2"/>
  <c r="D401" i="2"/>
  <c r="C401" i="2"/>
  <c r="I333" i="2"/>
  <c r="H333" i="2"/>
  <c r="C631" i="2"/>
  <c r="D631" i="2"/>
  <c r="D565" i="2"/>
  <c r="C565" i="2"/>
  <c r="C572" i="2"/>
  <c r="D572" i="2"/>
  <c r="D474" i="2"/>
  <c r="C474" i="2"/>
  <c r="D578" i="2"/>
  <c r="C578" i="2"/>
  <c r="D391" i="2"/>
  <c r="C391" i="2"/>
  <c r="D710" i="2"/>
  <c r="C710" i="2"/>
  <c r="C585" i="2"/>
  <c r="D585" i="2"/>
  <c r="C609" i="2"/>
  <c r="D609" i="2"/>
  <c r="H451" i="2"/>
  <c r="I451" i="2"/>
  <c r="I695" i="2"/>
  <c r="H695" i="2"/>
  <c r="I763" i="2"/>
  <c r="H763" i="2"/>
  <c r="I364" i="2"/>
  <c r="H364" i="2"/>
  <c r="I420" i="2"/>
  <c r="H420" i="2"/>
  <c r="I650" i="2"/>
  <c r="H650" i="2"/>
  <c r="C274" i="2"/>
  <c r="D274" i="2"/>
  <c r="C696" i="2"/>
  <c r="D696" i="2"/>
  <c r="H384" i="2"/>
  <c r="I384" i="2"/>
  <c r="C622" i="2"/>
  <c r="D622" i="2"/>
  <c r="C532" i="2"/>
  <c r="D532" i="2"/>
  <c r="H301" i="2"/>
  <c r="I301" i="2"/>
  <c r="C402" i="2"/>
  <c r="D402" i="2"/>
  <c r="I298" i="2"/>
  <c r="H298" i="2"/>
  <c r="I566" i="2"/>
  <c r="H566" i="2"/>
  <c r="D518" i="2"/>
  <c r="C518" i="2"/>
  <c r="D592" i="2"/>
  <c r="C592" i="2"/>
  <c r="D303" i="2"/>
  <c r="C303" i="2"/>
  <c r="D647" i="2"/>
  <c r="C647" i="2"/>
  <c r="H728" i="2"/>
  <c r="I728" i="2"/>
  <c r="I702" i="2"/>
  <c r="H702" i="2"/>
  <c r="D355" i="2"/>
  <c r="C355" i="2"/>
  <c r="D740" i="2"/>
  <c r="C740" i="2"/>
  <c r="I319" i="2"/>
  <c r="H319" i="2"/>
  <c r="H312" i="2"/>
  <c r="I312" i="2"/>
  <c r="I509" i="2"/>
  <c r="H509" i="2"/>
  <c r="H361" i="2"/>
  <c r="I361" i="2"/>
  <c r="H715" i="2"/>
  <c r="I715" i="2"/>
  <c r="I545" i="2"/>
  <c r="H545" i="2"/>
  <c r="I387" i="2"/>
  <c r="H387" i="2"/>
  <c r="C595" i="2"/>
  <c r="D595" i="2"/>
  <c r="H621" i="2"/>
  <c r="I621" i="2"/>
  <c r="H280" i="2"/>
  <c r="I280" i="2"/>
  <c r="C725" i="2"/>
  <c r="D725" i="2"/>
  <c r="I748" i="2"/>
  <c r="H748" i="2"/>
  <c r="I645" i="2"/>
  <c r="H645" i="2"/>
  <c r="H756" i="2"/>
  <c r="I756" i="2"/>
  <c r="D554" i="2"/>
  <c r="C554" i="2"/>
  <c r="H482" i="2"/>
  <c r="I482" i="2"/>
  <c r="C385" i="2"/>
  <c r="D385" i="2"/>
  <c r="H619" i="2"/>
  <c r="I619" i="2"/>
  <c r="H307" i="2"/>
  <c r="I307" i="2"/>
  <c r="D630" i="2"/>
  <c r="C630" i="2"/>
  <c r="M159" i="2"/>
  <c r="H159" i="2" s="1"/>
  <c r="W159" i="2"/>
  <c r="R159" i="2"/>
  <c r="AB159" i="2"/>
  <c r="T159" i="2"/>
  <c r="AD159" i="2"/>
  <c r="Y159" i="2"/>
  <c r="O159" i="2"/>
  <c r="J159" i="2" s="1"/>
  <c r="Z160" i="2"/>
  <c r="U160" i="2"/>
  <c r="P160" i="2"/>
  <c r="K160" i="2" s="1"/>
  <c r="AE160" i="2"/>
  <c r="AA160" i="2"/>
  <c r="V160" i="2"/>
  <c r="AF160" i="2"/>
  <c r="Q160" i="2"/>
  <c r="L160" i="2" s="1"/>
  <c r="AF152" i="2"/>
  <c r="AA152" i="2"/>
  <c r="Q152" i="2"/>
  <c r="L152" i="2" s="1"/>
  <c r="V152" i="2"/>
  <c r="S160" i="2"/>
  <c r="N160" i="2"/>
  <c r="I160" i="2" s="1"/>
  <c r="X160" i="2"/>
  <c r="AC160" i="2"/>
  <c r="AK154" i="2"/>
  <c r="AL154" i="2"/>
  <c r="AI154" i="2"/>
  <c r="AH154" i="2"/>
  <c r="AP154" i="2"/>
  <c r="AN154" i="2"/>
  <c r="AG154" i="2"/>
  <c r="AM154" i="2"/>
  <c r="AO154" i="2"/>
  <c r="AJ154" i="2"/>
  <c r="H419" i="2"/>
  <c r="I419" i="2"/>
  <c r="I457" i="2"/>
  <c r="H457" i="2"/>
  <c r="I529" i="2"/>
  <c r="H529" i="2"/>
  <c r="C492" i="2"/>
  <c r="D492" i="2"/>
  <c r="I285" i="2"/>
  <c r="H285" i="2"/>
  <c r="D380" i="2"/>
  <c r="C380" i="2"/>
  <c r="D660" i="2"/>
  <c r="C660" i="2"/>
  <c r="C374" i="2"/>
  <c r="D374" i="2"/>
  <c r="D320" i="2"/>
  <c r="C320" i="2"/>
  <c r="H664" i="2"/>
  <c r="I664" i="2"/>
  <c r="H547" i="2"/>
  <c r="I547" i="2"/>
  <c r="D506" i="2"/>
  <c r="C506" i="2"/>
  <c r="C417" i="2"/>
  <c r="D417" i="2"/>
  <c r="I745" i="2"/>
  <c r="H745" i="2"/>
  <c r="H458" i="2"/>
  <c r="I458" i="2"/>
  <c r="D441" i="2"/>
  <c r="C441" i="2"/>
  <c r="H289" i="2"/>
  <c r="I289" i="2"/>
  <c r="I352" i="2"/>
  <c r="H352" i="2"/>
  <c r="I409" i="2"/>
  <c r="H409" i="2"/>
  <c r="H283" i="2"/>
  <c r="I283" i="2"/>
  <c r="H618" i="2"/>
  <c r="I618" i="2"/>
  <c r="H718" i="2"/>
  <c r="I718" i="2"/>
  <c r="H532" i="2"/>
  <c r="I532" i="2"/>
  <c r="C686" i="2"/>
  <c r="D686" i="2"/>
  <c r="C499" i="2"/>
  <c r="D499" i="2"/>
  <c r="C398" i="2"/>
  <c r="D398" i="2"/>
  <c r="H765" i="2"/>
  <c r="I765" i="2"/>
  <c r="D594" i="2"/>
  <c r="C594" i="2"/>
  <c r="H625" i="2"/>
  <c r="I625" i="2"/>
  <c r="C444" i="2"/>
  <c r="D444" i="2"/>
  <c r="D675" i="2"/>
  <c r="C675" i="2"/>
  <c r="I414" i="2"/>
  <c r="H414" i="2"/>
  <c r="I659" i="2"/>
  <c r="H659" i="2"/>
  <c r="I454" i="2"/>
  <c r="H454" i="2"/>
  <c r="C711" i="2"/>
  <c r="D711" i="2"/>
  <c r="H713" i="2"/>
  <c r="I713" i="2"/>
  <c r="I561" i="2"/>
  <c r="H561" i="2"/>
  <c r="I656" i="2"/>
  <c r="H656" i="2"/>
  <c r="D741" i="2"/>
  <c r="C741" i="2"/>
  <c r="C362" i="2"/>
  <c r="D362" i="2"/>
  <c r="D653" i="2"/>
  <c r="C653" i="2"/>
  <c r="I407" i="2"/>
  <c r="H407" i="2"/>
  <c r="H572" i="2"/>
  <c r="I572" i="2"/>
  <c r="I483" i="2"/>
  <c r="H483" i="2"/>
  <c r="H733" i="2"/>
  <c r="I733" i="2"/>
  <c r="H473" i="2"/>
  <c r="I473" i="2"/>
  <c r="I353" i="2"/>
  <c r="H353" i="2"/>
  <c r="D290" i="2"/>
  <c r="C290" i="2"/>
  <c r="H730" i="2"/>
  <c r="I730" i="2"/>
  <c r="C737" i="2"/>
  <c r="D737" i="2"/>
  <c r="H360" i="2"/>
  <c r="I360" i="2"/>
  <c r="I278" i="2"/>
  <c r="H278" i="2"/>
  <c r="C678" i="2"/>
  <c r="D678" i="2"/>
  <c r="D684" i="2"/>
  <c r="C684" i="2"/>
  <c r="I688" i="2"/>
  <c r="H688" i="2"/>
  <c r="I584" i="2"/>
  <c r="H584" i="2"/>
  <c r="D742" i="2"/>
  <c r="C742" i="2"/>
  <c r="D375" i="2"/>
  <c r="C375" i="2"/>
  <c r="C426" i="2"/>
  <c r="D426" i="2"/>
  <c r="C432" i="2"/>
  <c r="D432" i="2"/>
  <c r="I608" i="2"/>
  <c r="H608" i="2"/>
  <c r="I315" i="2"/>
  <c r="H315" i="2"/>
  <c r="C566" i="2"/>
  <c r="D566" i="2"/>
  <c r="C667" i="2"/>
  <c r="D667" i="2"/>
  <c r="C519" i="2"/>
  <c r="D519" i="2"/>
  <c r="D530" i="2"/>
  <c r="C530" i="2"/>
  <c r="D331" i="2"/>
  <c r="C331" i="2"/>
  <c r="H378" i="2"/>
  <c r="I378" i="2"/>
  <c r="H726" i="2"/>
  <c r="I726" i="2"/>
  <c r="H292" i="2"/>
  <c r="I292" i="2"/>
  <c r="I440" i="2"/>
  <c r="H440" i="2"/>
  <c r="H275" i="2"/>
  <c r="I275" i="2"/>
  <c r="C736" i="2"/>
  <c r="D736" i="2"/>
  <c r="C514" i="2"/>
  <c r="D514" i="2"/>
  <c r="I426" i="2"/>
  <c r="H426" i="2"/>
  <c r="D621" i="2"/>
  <c r="C621" i="2"/>
  <c r="D770" i="2"/>
  <c r="C770" i="2"/>
  <c r="D697" i="2"/>
  <c r="C697" i="2"/>
  <c r="D439" i="2"/>
  <c r="C439" i="2"/>
  <c r="C541" i="2"/>
  <c r="D541" i="2"/>
  <c r="H328" i="2"/>
  <c r="I328" i="2"/>
  <c r="I295" i="2"/>
  <c r="H295" i="2"/>
  <c r="C730" i="2"/>
  <c r="D730" i="2"/>
  <c r="H722" i="2"/>
  <c r="I722" i="2"/>
  <c r="D615" i="2"/>
  <c r="C615" i="2"/>
  <c r="C477" i="2"/>
  <c r="D477" i="2"/>
  <c r="D367" i="2"/>
  <c r="C367" i="2"/>
  <c r="C689" i="2"/>
  <c r="D689" i="2"/>
  <c r="I388" i="2"/>
  <c r="H388" i="2"/>
  <c r="C452" i="2"/>
  <c r="D452" i="2"/>
  <c r="I410" i="2"/>
  <c r="H410" i="2"/>
  <c r="I641" i="2"/>
  <c r="H641" i="2"/>
  <c r="H700" i="2"/>
  <c r="I700" i="2"/>
  <c r="D405" i="2"/>
  <c r="C405" i="2"/>
  <c r="H669" i="2"/>
  <c r="I669" i="2"/>
  <c r="D294" i="2"/>
  <c r="C294" i="2"/>
  <c r="H459" i="2"/>
  <c r="I459" i="2"/>
  <c r="H448" i="2"/>
  <c r="I448" i="2"/>
  <c r="C429" i="2"/>
  <c r="D429" i="2"/>
  <c r="I442" i="2"/>
  <c r="H442" i="2"/>
  <c r="D771" i="2"/>
  <c r="C771" i="2"/>
  <c r="C469" i="2"/>
  <c r="D469" i="2"/>
  <c r="D576" i="2"/>
  <c r="C576" i="2"/>
  <c r="C484" i="2"/>
  <c r="D484" i="2"/>
  <c r="C334" i="2"/>
  <c r="D334" i="2"/>
  <c r="I485" i="2"/>
  <c r="H485" i="2"/>
  <c r="D536" i="2"/>
  <c r="C536" i="2"/>
  <c r="C719" i="2"/>
  <c r="D719" i="2"/>
  <c r="I636" i="2"/>
  <c r="H636" i="2"/>
  <c r="D547" i="2"/>
  <c r="C547" i="2"/>
  <c r="D526" i="2"/>
  <c r="C526" i="2"/>
  <c r="C657" i="2"/>
  <c r="D657" i="2"/>
  <c r="C644" i="2"/>
  <c r="D644" i="2"/>
  <c r="D395" i="2"/>
  <c r="C395" i="2"/>
  <c r="C753" i="2"/>
  <c r="D753" i="2"/>
  <c r="D379" i="2"/>
  <c r="C379" i="2"/>
  <c r="D732" i="2"/>
  <c r="C732" i="2"/>
  <c r="D471" i="2"/>
  <c r="C471" i="2"/>
  <c r="H585" i="2"/>
  <c r="I585" i="2"/>
  <c r="C314" i="2"/>
  <c r="D314" i="2"/>
  <c r="I508" i="2"/>
  <c r="H508" i="2"/>
  <c r="C509" i="2"/>
  <c r="D509" i="2"/>
  <c r="I696" i="2"/>
  <c r="H696" i="2"/>
  <c r="H342" i="2"/>
  <c r="I342" i="2"/>
  <c r="D521" i="2"/>
  <c r="C521" i="2"/>
  <c r="W155" i="2"/>
  <c r="R155" i="2"/>
  <c r="AB155" i="2"/>
  <c r="M155" i="2"/>
  <c r="H155" i="2" s="1"/>
  <c r="O151" i="2"/>
  <c r="J151" i="2" s="1"/>
  <c r="Y151" i="2"/>
  <c r="AD151" i="2"/>
  <c r="T151" i="2"/>
  <c r="Z151" i="2"/>
  <c r="AE151" i="2"/>
  <c r="U151" i="2"/>
  <c r="P151" i="2"/>
  <c r="K151" i="2" s="1"/>
  <c r="AA159" i="2"/>
  <c r="Q159" i="2"/>
  <c r="L159" i="2" s="1"/>
  <c r="AF159" i="2"/>
  <c r="V159" i="2"/>
  <c r="AF154" i="2"/>
  <c r="AA154" i="2"/>
  <c r="V154" i="2"/>
  <c r="Q154" i="2"/>
  <c r="L154" i="2" s="1"/>
  <c r="S154" i="2"/>
  <c r="AC154" i="2"/>
  <c r="N154" i="2"/>
  <c r="I154" i="2" s="1"/>
  <c r="X154" i="2"/>
  <c r="AJ157" i="2"/>
  <c r="AL157" i="2"/>
  <c r="AN157" i="2"/>
  <c r="AO157" i="2"/>
  <c r="AG157" i="2"/>
  <c r="AI157" i="2"/>
  <c r="AK157" i="2"/>
  <c r="AH157" i="2"/>
  <c r="AM157" i="2"/>
  <c r="AP157" i="2"/>
  <c r="AK161" i="2"/>
  <c r="AJ161" i="2"/>
  <c r="AI161" i="2"/>
  <c r="AH161" i="2"/>
  <c r="AN161" i="2"/>
  <c r="AM161" i="2"/>
  <c r="AL161" i="2"/>
  <c r="AO161" i="2"/>
  <c r="AP161" i="2"/>
  <c r="AG161" i="2"/>
  <c r="I622" i="2"/>
  <c r="H622" i="2"/>
  <c r="H663" i="2"/>
  <c r="I663" i="2"/>
  <c r="H318" i="2"/>
  <c r="I318" i="2"/>
  <c r="D416" i="2"/>
  <c r="C416" i="2"/>
  <c r="H677" i="2"/>
  <c r="I677" i="2"/>
  <c r="D640" i="2"/>
  <c r="C640" i="2"/>
  <c r="D720" i="2"/>
  <c r="C720" i="2"/>
  <c r="I377" i="2"/>
  <c r="H377" i="2"/>
  <c r="D613" i="2"/>
  <c r="C613" i="2"/>
  <c r="H444" i="2"/>
  <c r="I444" i="2"/>
  <c r="H286" i="2"/>
  <c r="I286" i="2"/>
  <c r="I747" i="2"/>
  <c r="H747" i="2"/>
  <c r="H335" i="2"/>
  <c r="I335" i="2"/>
  <c r="H727" i="2"/>
  <c r="I727" i="2"/>
  <c r="C473" i="2"/>
  <c r="D473" i="2"/>
  <c r="H504" i="2"/>
  <c r="I504" i="2"/>
  <c r="C691" i="2"/>
  <c r="D691" i="2"/>
  <c r="D542" i="2"/>
  <c r="C542" i="2"/>
  <c r="H751" i="2"/>
  <c r="I751" i="2"/>
  <c r="I528" i="2"/>
  <c r="H528" i="2"/>
  <c r="C269" i="2"/>
  <c r="C268" i="2"/>
  <c r="C639" i="2"/>
  <c r="D639" i="2"/>
  <c r="H716" i="2"/>
  <c r="I716" i="2"/>
  <c r="H646" i="2"/>
  <c r="I646" i="2"/>
  <c r="D557" i="2"/>
  <c r="C557" i="2"/>
  <c r="I537" i="2"/>
  <c r="H537" i="2"/>
  <c r="H423" i="2"/>
  <c r="I423" i="2"/>
  <c r="C360" i="2"/>
  <c r="D360" i="2"/>
  <c r="D764" i="2"/>
  <c r="C764" i="2"/>
  <c r="C345" i="2"/>
  <c r="D345" i="2"/>
  <c r="I405" i="2"/>
  <c r="H405" i="2"/>
  <c r="D389" i="2"/>
  <c r="C389" i="2"/>
  <c r="D525" i="2"/>
  <c r="C525" i="2"/>
  <c r="I671" i="2"/>
  <c r="H671" i="2"/>
  <c r="D468" i="2"/>
  <c r="C468" i="2"/>
  <c r="H735" i="2"/>
  <c r="I735" i="2"/>
  <c r="H310" i="2"/>
  <c r="I310" i="2"/>
  <c r="D299" i="2"/>
  <c r="C299" i="2"/>
  <c r="I603" i="2"/>
  <c r="H603" i="2"/>
  <c r="I723" i="2"/>
  <c r="H723" i="2"/>
  <c r="H562" i="2"/>
  <c r="I562" i="2"/>
  <c r="I350" i="2"/>
  <c r="H350" i="2"/>
  <c r="H401" i="2"/>
  <c r="I401" i="2"/>
  <c r="C724" i="2"/>
  <c r="D724" i="2"/>
  <c r="D546" i="2"/>
  <c r="C546" i="2"/>
  <c r="C694" i="2"/>
  <c r="D694" i="2"/>
  <c r="H418" i="2"/>
  <c r="I418" i="2"/>
  <c r="H521" i="2"/>
  <c r="I521" i="2"/>
  <c r="C309" i="2"/>
  <c r="D309" i="2"/>
  <c r="D511" i="2"/>
  <c r="C511" i="2"/>
  <c r="C726" i="2"/>
  <c r="D726" i="2"/>
  <c r="I293" i="2"/>
  <c r="H293" i="2"/>
  <c r="D616" i="2"/>
  <c r="C616" i="2"/>
  <c r="D652" i="2"/>
  <c r="C652" i="2"/>
  <c r="H633" i="2"/>
  <c r="I633" i="2"/>
  <c r="I588" i="2"/>
  <c r="H588" i="2"/>
  <c r="D605" i="2"/>
  <c r="C605" i="2"/>
  <c r="H276" i="2"/>
  <c r="I276" i="2"/>
  <c r="C545" i="2"/>
  <c r="D545" i="2"/>
  <c r="C442" i="2"/>
  <c r="D442" i="2"/>
  <c r="C705" i="2"/>
  <c r="D705" i="2"/>
  <c r="D503" i="2"/>
  <c r="C503" i="2"/>
  <c r="H686" i="2"/>
  <c r="I686" i="2"/>
  <c r="D382" i="2"/>
  <c r="C382" i="2"/>
  <c r="C690" i="2"/>
  <c r="D690" i="2"/>
  <c r="D446" i="2"/>
  <c r="C446" i="2"/>
  <c r="D752" i="2"/>
  <c r="C752" i="2"/>
  <c r="I445" i="2"/>
  <c r="H445" i="2"/>
  <c r="I749" i="2"/>
  <c r="H749" i="2"/>
  <c r="H424" i="2"/>
  <c r="I424" i="2"/>
  <c r="D560" i="2"/>
  <c r="C560" i="2"/>
  <c r="D415" i="2"/>
  <c r="C415" i="2"/>
  <c r="D762" i="2"/>
  <c r="C762" i="2"/>
  <c r="C573" i="2"/>
  <c r="D573" i="2"/>
  <c r="D551" i="2"/>
  <c r="C551" i="2"/>
  <c r="D272" i="2"/>
  <c r="C272" i="2"/>
  <c r="H344" i="2"/>
  <c r="I344" i="2"/>
  <c r="D300" i="2"/>
  <c r="C300" i="2"/>
  <c r="H769" i="2"/>
  <c r="I769" i="2"/>
  <c r="I558" i="2"/>
  <c r="H558" i="2"/>
  <c r="I526" i="2"/>
  <c r="H526" i="2"/>
  <c r="D682" i="2"/>
  <c r="C682" i="2"/>
  <c r="C597" i="2"/>
  <c r="D597" i="2"/>
  <c r="C354" i="2"/>
  <c r="D354" i="2"/>
  <c r="D629" i="2"/>
  <c r="C629" i="2"/>
  <c r="D427" i="2"/>
  <c r="C427" i="2"/>
  <c r="H551" i="2"/>
  <c r="I551" i="2"/>
  <c r="I321" i="2"/>
  <c r="H321" i="2"/>
  <c r="H339" i="2"/>
  <c r="I339" i="2"/>
  <c r="D480" i="2"/>
  <c r="C480" i="2"/>
  <c r="I679" i="2"/>
  <c r="H679" i="2"/>
  <c r="D447" i="2"/>
  <c r="C447" i="2"/>
  <c r="D333" i="2"/>
  <c r="C333" i="2"/>
  <c r="H704" i="2"/>
  <c r="I704" i="2"/>
  <c r="D387" i="2"/>
  <c r="C387" i="2"/>
  <c r="D637" i="2"/>
  <c r="C637" i="2"/>
  <c r="C284" i="2"/>
  <c r="D284" i="2"/>
  <c r="C321" i="2"/>
  <c r="D321" i="2"/>
  <c r="C661" i="2"/>
  <c r="D661" i="2"/>
  <c r="D669" i="2"/>
  <c r="C669" i="2"/>
  <c r="D342" i="2"/>
  <c r="C342" i="2"/>
  <c r="H770" i="2"/>
  <c r="I770" i="2"/>
  <c r="C411" i="2"/>
  <c r="D411" i="2"/>
  <c r="H739" i="2"/>
  <c r="I739" i="2"/>
  <c r="C336" i="2"/>
  <c r="D336" i="2"/>
  <c r="C755" i="2"/>
  <c r="D755" i="2"/>
  <c r="D458" i="2"/>
  <c r="C458" i="2"/>
  <c r="I299" i="2"/>
  <c r="H299" i="2"/>
  <c r="C408" i="2"/>
  <c r="D408" i="2"/>
  <c r="D372" i="2"/>
  <c r="C372" i="2"/>
  <c r="I438" i="2"/>
  <c r="H438" i="2"/>
  <c r="H586" i="2"/>
  <c r="I586" i="2"/>
  <c r="H768" i="2"/>
  <c r="I768" i="2"/>
  <c r="H411" i="2"/>
  <c r="I411" i="2"/>
  <c r="I475" i="2"/>
  <c r="H475" i="2"/>
  <c r="H737" i="2"/>
  <c r="I737" i="2"/>
  <c r="C564" i="2"/>
  <c r="D564" i="2"/>
  <c r="I681" i="2"/>
  <c r="H681" i="2"/>
  <c r="H655" i="2"/>
  <c r="I655" i="2"/>
  <c r="I394" i="2"/>
  <c r="H394" i="2"/>
  <c r="C687" i="2"/>
  <c r="D687" i="2"/>
  <c r="I725" i="2"/>
  <c r="H725" i="2"/>
  <c r="D313" i="2"/>
  <c r="C313" i="2"/>
  <c r="I329" i="2"/>
  <c r="H329" i="2"/>
  <c r="I742" i="2"/>
  <c r="H742" i="2"/>
  <c r="M158" i="2"/>
  <c r="H158" i="2" s="1"/>
  <c r="W158" i="2"/>
  <c r="R158" i="2"/>
  <c r="AB158" i="2"/>
  <c r="R160" i="2"/>
  <c r="W160" i="2"/>
  <c r="M160" i="2"/>
  <c r="H160" i="2" s="1"/>
  <c r="H166" i="2" s="1"/>
  <c r="F23" i="12" s="1"/>
  <c r="AB160" i="2"/>
  <c r="AD152" i="2"/>
  <c r="O152" i="2"/>
  <c r="J152" i="2" s="1"/>
  <c r="T152" i="2"/>
  <c r="Y152" i="2"/>
  <c r="T160" i="2"/>
  <c r="O160" i="2"/>
  <c r="J160" i="2" s="1"/>
  <c r="AD160" i="2"/>
  <c r="Y160" i="2"/>
  <c r="AE157" i="2"/>
  <c r="P157" i="2"/>
  <c r="K157" i="2" s="1"/>
  <c r="U157" i="2"/>
  <c r="Z157" i="2"/>
  <c r="AF157" i="2"/>
  <c r="Q157" i="2"/>
  <c r="L157" i="2" s="1"/>
  <c r="L163" i="2" s="1"/>
  <c r="AA157" i="2"/>
  <c r="V157" i="2"/>
  <c r="N161" i="2"/>
  <c r="I161" i="2" s="1"/>
  <c r="S161" i="2"/>
  <c r="X161" i="2"/>
  <c r="AC161" i="2"/>
  <c r="N153" i="2"/>
  <c r="I153" i="2" s="1"/>
  <c r="AC153" i="2"/>
  <c r="X153" i="2"/>
  <c r="S153" i="2"/>
  <c r="AJ158" i="2"/>
  <c r="AI158" i="2"/>
  <c r="AN158" i="2"/>
  <c r="AM158" i="2"/>
  <c r="AO158" i="2"/>
  <c r="AK158" i="2"/>
  <c r="AG158" i="2"/>
  <c r="AH158" i="2"/>
  <c r="AP158" i="2"/>
  <c r="AL158" i="2"/>
  <c r="I317" i="2"/>
  <c r="H317" i="2"/>
  <c r="H422" i="2"/>
  <c r="I422" i="2"/>
  <c r="H624" i="2"/>
  <c r="I624" i="2"/>
  <c r="I305" i="2"/>
  <c r="H305" i="2"/>
  <c r="H548" i="2"/>
  <c r="I548" i="2"/>
  <c r="C412" i="2"/>
  <c r="D412" i="2"/>
  <c r="C500" i="2"/>
  <c r="D500" i="2"/>
  <c r="I455" i="2"/>
  <c r="H455" i="2"/>
  <c r="H505" i="2"/>
  <c r="I505" i="2"/>
  <c r="H311" i="2"/>
  <c r="I311" i="2"/>
  <c r="I593" i="2"/>
  <c r="H593" i="2"/>
  <c r="D460" i="2"/>
  <c r="C460" i="2"/>
  <c r="H568" i="2"/>
  <c r="I568" i="2"/>
  <c r="D454" i="2"/>
  <c r="C454" i="2"/>
  <c r="H417" i="2"/>
  <c r="I417" i="2"/>
  <c r="I496" i="2"/>
  <c r="H496" i="2"/>
  <c r="H576" i="2"/>
  <c r="I576" i="2"/>
  <c r="I316" i="2"/>
  <c r="H316" i="2"/>
  <c r="I336" i="2"/>
  <c r="H336" i="2"/>
  <c r="I427" i="2"/>
  <c r="H427" i="2"/>
  <c r="H543" i="2"/>
  <c r="I543" i="2"/>
  <c r="C516" i="2"/>
  <c r="D516" i="2"/>
  <c r="H759" i="2"/>
  <c r="I759" i="2"/>
  <c r="D308" i="2"/>
  <c r="C308" i="2"/>
  <c r="H668" i="2"/>
  <c r="I668" i="2"/>
  <c r="D435" i="2"/>
  <c r="C435" i="2"/>
  <c r="D611" i="2"/>
  <c r="C611" i="2"/>
  <c r="D384" i="2"/>
  <c r="C384" i="2"/>
  <c r="I719" i="2"/>
  <c r="H719" i="2"/>
  <c r="D515" i="2"/>
  <c r="C515" i="2"/>
  <c r="C699" i="2"/>
  <c r="D699" i="2"/>
  <c r="H516" i="2"/>
  <c r="I516" i="2"/>
  <c r="I466" i="2"/>
  <c r="H466" i="2"/>
  <c r="D596" i="2"/>
  <c r="C596" i="2"/>
  <c r="H634" i="2"/>
  <c r="I634" i="2"/>
  <c r="I610" i="2"/>
  <c r="H610" i="2"/>
  <c r="I302" i="2"/>
  <c r="H302" i="2"/>
  <c r="C584" i="2"/>
  <c r="D584" i="2"/>
  <c r="C718" i="2"/>
  <c r="D718" i="2"/>
  <c r="H462" i="2"/>
  <c r="I462" i="2"/>
  <c r="C623" i="2"/>
  <c r="D623" i="2"/>
  <c r="I539" i="2"/>
  <c r="H539" i="2"/>
  <c r="I538" i="2"/>
  <c r="H538" i="2"/>
  <c r="C664" i="2"/>
  <c r="D664" i="2"/>
  <c r="I461" i="2"/>
  <c r="H461" i="2"/>
  <c r="H565" i="2"/>
  <c r="I565" i="2"/>
  <c r="D620" i="2"/>
  <c r="C620" i="2"/>
  <c r="C393" i="2"/>
  <c r="D393" i="2"/>
  <c r="H347" i="2"/>
  <c r="I347" i="2"/>
  <c r="C406" i="2"/>
  <c r="D406" i="2"/>
  <c r="C709" i="2"/>
  <c r="D709" i="2"/>
  <c r="I592" i="2"/>
  <c r="H592" i="2"/>
  <c r="C297" i="2"/>
  <c r="D297" i="2"/>
  <c r="C501" i="2"/>
  <c r="D501" i="2"/>
  <c r="C703" i="2"/>
  <c r="D703" i="2"/>
  <c r="C453" i="2"/>
  <c r="D453" i="2"/>
  <c r="D369" i="2"/>
  <c r="C369" i="2"/>
  <c r="H711" i="2"/>
  <c r="I711" i="2"/>
  <c r="I415" i="2"/>
  <c r="H415" i="2"/>
  <c r="D470" i="2"/>
  <c r="C470" i="2"/>
  <c r="H351" i="2"/>
  <c r="I351" i="2"/>
  <c r="D548" i="2"/>
  <c r="C548" i="2"/>
  <c r="D722" i="2"/>
  <c r="C722" i="2"/>
  <c r="D304" i="2"/>
  <c r="C304" i="2"/>
  <c r="C280" i="2"/>
  <c r="D280" i="2"/>
  <c r="H635" i="2"/>
  <c r="I635" i="2"/>
  <c r="C702" i="2"/>
  <c r="D702" i="2"/>
  <c r="C598" i="2"/>
  <c r="D598" i="2"/>
  <c r="C651" i="2"/>
  <c r="D651" i="2"/>
  <c r="C568" i="2"/>
  <c r="D568" i="2"/>
  <c r="I337" i="2"/>
  <c r="H337" i="2"/>
  <c r="D371" i="2"/>
  <c r="C371" i="2"/>
  <c r="D269" i="2"/>
  <c r="D268" i="2"/>
  <c r="D658" i="2"/>
  <c r="C658" i="2"/>
  <c r="D327" i="2"/>
  <c r="C327" i="2"/>
  <c r="C490" i="2"/>
  <c r="D490" i="2"/>
  <c r="C346" i="2"/>
  <c r="D346" i="2"/>
  <c r="H760" i="2"/>
  <c r="I760" i="2"/>
  <c r="D633" i="2"/>
  <c r="C633" i="2"/>
  <c r="D743" i="2"/>
  <c r="C743" i="2"/>
  <c r="D608" i="2"/>
  <c r="C608" i="2"/>
  <c r="D555" i="2"/>
  <c r="C555" i="2"/>
  <c r="I738" i="2"/>
  <c r="H738" i="2"/>
  <c r="D715" i="2"/>
  <c r="C715" i="2"/>
  <c r="I428" i="2"/>
  <c r="H428" i="2"/>
  <c r="I464" i="2"/>
  <c r="H464" i="2"/>
  <c r="H761" i="2"/>
  <c r="I761" i="2"/>
  <c r="C535" i="2"/>
  <c r="D535" i="2"/>
  <c r="I581" i="2"/>
  <c r="H581" i="2"/>
  <c r="C531" i="2"/>
  <c r="D531" i="2"/>
  <c r="D359" i="2"/>
  <c r="C359" i="2"/>
  <c r="D650" i="2"/>
  <c r="C650" i="2"/>
  <c r="C286" i="2"/>
  <c r="D286" i="2"/>
  <c r="H605" i="2"/>
  <c r="I605" i="2"/>
  <c r="H591" i="2"/>
  <c r="I591" i="2"/>
  <c r="I313" i="2"/>
  <c r="H313" i="2"/>
  <c r="I651" i="2"/>
  <c r="H651" i="2"/>
  <c r="I375" i="2"/>
  <c r="H375" i="2"/>
  <c r="C723" i="2"/>
  <c r="D723" i="2"/>
  <c r="C483" i="2"/>
  <c r="D483" i="2"/>
  <c r="C577" i="2"/>
  <c r="D577" i="2"/>
  <c r="D698" i="2"/>
  <c r="C698" i="2"/>
  <c r="I460" i="2"/>
  <c r="H460" i="2"/>
  <c r="H627" i="2"/>
  <c r="I627" i="2"/>
  <c r="I348" i="2"/>
  <c r="H348" i="2"/>
  <c r="C493" i="2"/>
  <c r="D493" i="2"/>
  <c r="H658" i="2"/>
  <c r="I658" i="2"/>
  <c r="C351" i="2"/>
  <c r="D351" i="2"/>
  <c r="H653" i="2"/>
  <c r="I653" i="2"/>
  <c r="D734" i="2"/>
  <c r="C734" i="2"/>
  <c r="H708" i="2"/>
  <c r="I708" i="2"/>
  <c r="C610" i="2"/>
  <c r="D610" i="2"/>
  <c r="I680" i="2"/>
  <c r="H680" i="2"/>
  <c r="H447" i="2"/>
  <c r="I447" i="2"/>
  <c r="H326" i="2"/>
  <c r="I326" i="2"/>
  <c r="H666" i="2"/>
  <c r="I666" i="2"/>
  <c r="I515" i="2"/>
  <c r="H515" i="2"/>
  <c r="H497" i="2"/>
  <c r="I497" i="2"/>
  <c r="C278" i="2"/>
  <c r="D278" i="2"/>
  <c r="C759" i="2"/>
  <c r="D759" i="2"/>
  <c r="D377" i="2"/>
  <c r="C377" i="2"/>
  <c r="H381" i="2"/>
  <c r="I381" i="2"/>
  <c r="H752" i="2"/>
  <c r="I752" i="2"/>
  <c r="H449" i="2"/>
  <c r="I449" i="2"/>
  <c r="C436" i="2"/>
  <c r="D436" i="2"/>
  <c r="H500" i="2"/>
  <c r="I500" i="2"/>
  <c r="W157" i="2"/>
  <c r="R157" i="2"/>
  <c r="M157" i="2"/>
  <c r="H157" i="2" s="1"/>
  <c r="AB157" i="2"/>
  <c r="M151" i="2"/>
  <c r="H151" i="2" s="1"/>
  <c r="R151" i="2"/>
  <c r="W151" i="2"/>
  <c r="AB151" i="2"/>
  <c r="AD153" i="2"/>
  <c r="Y153" i="2"/>
  <c r="T153" i="2"/>
  <c r="O153" i="2"/>
  <c r="J153" i="2" s="1"/>
  <c r="AD154" i="2"/>
  <c r="Y154" i="2"/>
  <c r="T154" i="2"/>
  <c r="O154" i="2"/>
  <c r="J154" i="2" s="1"/>
  <c r="AE161" i="2"/>
  <c r="U161" i="2"/>
  <c r="Z161" i="2"/>
  <c r="P161" i="2"/>
  <c r="K161" i="2" s="1"/>
  <c r="V161" i="2"/>
  <c r="Q161" i="2"/>
  <c r="L161" i="2" s="1"/>
  <c r="AF161" i="2"/>
  <c r="AA161" i="2"/>
  <c r="S159" i="2"/>
  <c r="N159" i="2"/>
  <c r="I159" i="2" s="1"/>
  <c r="X159" i="2"/>
  <c r="AC159" i="2"/>
  <c r="X157" i="2"/>
  <c r="N157" i="2"/>
  <c r="I157" i="2" s="1"/>
  <c r="AC157" i="2"/>
  <c r="S157" i="2"/>
  <c r="K165" i="2" l="1"/>
  <c r="L22" i="12" s="1"/>
  <c r="L165" i="2"/>
  <c r="L22" i="14" s="1"/>
  <c r="P12" i="16" s="1"/>
  <c r="K167" i="2"/>
  <c r="J24" i="14" s="1"/>
  <c r="Y12" i="16" s="1"/>
  <c r="I167" i="2"/>
  <c r="H24" i="12" s="1"/>
  <c r="K166" i="2"/>
  <c r="J23" i="14" s="1"/>
  <c r="T12" i="16" s="1"/>
  <c r="K141" i="2"/>
  <c r="K209" i="2" s="1"/>
  <c r="F143" i="2"/>
  <c r="B211" i="2" s="1"/>
  <c r="J165" i="2"/>
  <c r="H22" i="14" s="1"/>
  <c r="N12" i="16" s="1"/>
  <c r="T187" i="2"/>
  <c r="I195" i="2"/>
  <c r="T188" i="2"/>
  <c r="L167" i="2"/>
  <c r="L24" i="14" s="1"/>
  <c r="Z12" i="16" s="1"/>
  <c r="J167" i="2"/>
  <c r="H24" i="14" s="1"/>
  <c r="X12" i="16" s="1"/>
  <c r="K145" i="2"/>
  <c r="K213" i="2" s="1"/>
  <c r="I165" i="2"/>
  <c r="F22" i="14" s="1"/>
  <c r="M12" i="16" s="1"/>
  <c r="K164" i="2"/>
  <c r="J21" i="14" s="1"/>
  <c r="J12" i="16" s="1"/>
  <c r="K144" i="2"/>
  <c r="K212" i="2" s="1"/>
  <c r="J166" i="2"/>
  <c r="H23" i="14" s="1"/>
  <c r="S12" i="16" s="1"/>
  <c r="L166" i="2"/>
  <c r="N23" i="12" s="1"/>
  <c r="F141" i="2"/>
  <c r="B209" i="2" s="1"/>
  <c r="F142" i="2"/>
  <c r="B210" i="2" s="1"/>
  <c r="I166" i="2"/>
  <c r="F23" i="14" s="1"/>
  <c r="R12" i="16" s="1"/>
  <c r="K142" i="2"/>
  <c r="K210" i="2" s="1"/>
  <c r="J164" i="2"/>
  <c r="H21" i="14" s="1"/>
  <c r="I12" i="16" s="1"/>
  <c r="K163" i="2"/>
  <c r="L20" i="12" s="1"/>
  <c r="J163" i="2"/>
  <c r="H20" i="14" s="1"/>
  <c r="D12" i="16" s="1"/>
  <c r="H164" i="2"/>
  <c r="F21" i="12" s="1"/>
  <c r="G12" i="13" s="1"/>
  <c r="K143" i="2"/>
  <c r="K211" i="2" s="1"/>
  <c r="I164" i="2"/>
  <c r="F21" i="14" s="1"/>
  <c r="H12" i="16" s="1"/>
  <c r="H167" i="2"/>
  <c r="F24" i="12" s="1"/>
  <c r="V12" i="13" s="1"/>
  <c r="I163" i="2"/>
  <c r="H20" i="12" s="1"/>
  <c r="H163" i="2"/>
  <c r="F20" i="12" s="1"/>
  <c r="B12" i="13" s="1"/>
  <c r="L164" i="2"/>
  <c r="N21" i="12" s="1"/>
  <c r="H165" i="2"/>
  <c r="F22" i="12" s="1"/>
  <c r="L12" i="13" s="1"/>
  <c r="Q12" i="13"/>
  <c r="L20" i="14"/>
  <c r="F12" i="16" s="1"/>
  <c r="N20" i="12"/>
  <c r="F12" i="13" s="1"/>
  <c r="S190" i="2"/>
  <c r="S189" i="2"/>
  <c r="S186" i="2"/>
  <c r="M195" i="2"/>
  <c r="T189" i="2"/>
  <c r="E296" i="2"/>
  <c r="E274" i="2"/>
  <c r="E295" i="2"/>
  <c r="E283" i="2"/>
  <c r="E286" i="2"/>
  <c r="E280" i="2"/>
  <c r="E281" i="2"/>
  <c r="E282" i="2"/>
  <c r="E278" i="2"/>
  <c r="E284" i="2"/>
  <c r="E291" i="2"/>
  <c r="E279" i="2"/>
  <c r="E288" i="2"/>
  <c r="E277" i="2"/>
  <c r="E285" i="2"/>
  <c r="S188" i="2"/>
  <c r="T186" i="2"/>
  <c r="S187" i="2"/>
  <c r="G195" i="2"/>
  <c r="T190" i="2"/>
  <c r="K195" i="2"/>
  <c r="O195" i="2"/>
  <c r="E290" i="2"/>
  <c r="E272" i="2"/>
  <c r="E289" i="2"/>
  <c r="E292" i="2"/>
  <c r="E293" i="2"/>
  <c r="E276" i="2"/>
  <c r="E294" i="2"/>
  <c r="E287" i="2"/>
  <c r="E273" i="2"/>
  <c r="E275" i="2"/>
  <c r="C270" i="2"/>
  <c r="E297" i="2" s="1"/>
  <c r="B270" i="2"/>
  <c r="J22" i="14" l="1"/>
  <c r="O12" i="16" s="1"/>
  <c r="F24" i="14"/>
  <c r="W12" i="16" s="1"/>
  <c r="L23" i="12"/>
  <c r="I190" i="2"/>
  <c r="N22" i="12"/>
  <c r="P12" i="13" s="1"/>
  <c r="L24" i="12"/>
  <c r="Y12" i="13" s="1"/>
  <c r="J22" i="12"/>
  <c r="N12" i="13" s="1"/>
  <c r="E299" i="2"/>
  <c r="E298" i="2"/>
  <c r="K190" i="2"/>
  <c r="E301" i="2"/>
  <c r="E304" i="2"/>
  <c r="E300" i="2"/>
  <c r="L21" i="12"/>
  <c r="J12" i="13" s="1"/>
  <c r="E302" i="2"/>
  <c r="E303" i="2"/>
  <c r="N24" i="12"/>
  <c r="Z12" i="13" s="1"/>
  <c r="J24" i="12"/>
  <c r="X12" i="13" s="1"/>
  <c r="H23" i="12"/>
  <c r="R12" i="13" s="1"/>
  <c r="L23" i="14"/>
  <c r="U12" i="16" s="1"/>
  <c r="H22" i="12"/>
  <c r="M12" i="13" s="1"/>
  <c r="J23" i="12"/>
  <c r="J20" i="12"/>
  <c r="D12" i="13" s="1"/>
  <c r="L21" i="14"/>
  <c r="K12" i="16" s="1"/>
  <c r="J20" i="14"/>
  <c r="E12" i="16" s="1"/>
  <c r="E307" i="2"/>
  <c r="M190" i="2"/>
  <c r="E306" i="2"/>
  <c r="E305" i="2"/>
  <c r="L208" i="2"/>
  <c r="L207" i="2" s="1"/>
  <c r="L206" i="2" s="1"/>
  <c r="J21" i="12"/>
  <c r="I12" i="13" s="1"/>
  <c r="F14" i="9"/>
  <c r="F14" i="15"/>
  <c r="C208" i="2"/>
  <c r="F20" i="14"/>
  <c r="C12" i="16" s="1"/>
  <c r="H21" i="12"/>
  <c r="H12" i="13" s="1"/>
  <c r="W12" i="13"/>
  <c r="S12" i="13"/>
  <c r="T12" i="13"/>
  <c r="U12" i="13"/>
  <c r="O12" i="13"/>
  <c r="K12" i="13"/>
  <c r="C12" i="13"/>
  <c r="E12" i="13"/>
  <c r="O190" i="2"/>
  <c r="E321" i="2"/>
  <c r="G190" i="2"/>
  <c r="E317" i="2"/>
  <c r="E315" i="2"/>
  <c r="E309" i="2"/>
  <c r="E320" i="2"/>
  <c r="E318" i="2"/>
  <c r="E319" i="2"/>
  <c r="E310" i="2"/>
  <c r="E314" i="2"/>
  <c r="E308" i="2"/>
  <c r="E311" i="2"/>
  <c r="E312" i="2"/>
  <c r="F14" i="14"/>
  <c r="E313" i="2"/>
  <c r="F14" i="12"/>
  <c r="E316" i="2"/>
  <c r="E678" i="2"/>
  <c r="E689" i="2"/>
  <c r="E624" i="2"/>
  <c r="J296" i="2"/>
  <c r="E543" i="2"/>
  <c r="E562" i="2"/>
  <c r="E701" i="2"/>
  <c r="E656" i="2"/>
  <c r="E563" i="2"/>
  <c r="E750" i="2"/>
  <c r="E718" i="2"/>
  <c r="E609" i="2"/>
  <c r="J282" i="2"/>
  <c r="E572" i="2"/>
  <c r="E580" i="2"/>
  <c r="J300" i="2"/>
  <c r="E592" i="2"/>
  <c r="E762" i="2"/>
  <c r="J276" i="2"/>
  <c r="E618" i="2"/>
  <c r="E591" i="2"/>
  <c r="E748" i="2"/>
  <c r="J298" i="2"/>
  <c r="J287" i="2"/>
  <c r="E636" i="2"/>
  <c r="E730" i="2"/>
  <c r="J277" i="2"/>
  <c r="E632" i="2"/>
  <c r="E631" i="2"/>
  <c r="E596" i="2"/>
  <c r="E654" i="2"/>
  <c r="E768" i="2"/>
  <c r="E764" i="2"/>
  <c r="E649" i="2"/>
  <c r="E635" i="2"/>
  <c r="E723" i="2"/>
  <c r="E725" i="2"/>
  <c r="E559" i="2"/>
  <c r="E754" i="2"/>
  <c r="E595" i="2"/>
  <c r="J272" i="2"/>
  <c r="E566" i="2"/>
  <c r="E743" i="2"/>
  <c r="J278" i="2"/>
  <c r="E638" i="2"/>
  <c r="J304" i="2"/>
  <c r="J308" i="2"/>
  <c r="E541" i="2"/>
  <c r="E693" i="2"/>
  <c r="E551" i="2"/>
  <c r="E699" i="2"/>
  <c r="E711" i="2"/>
  <c r="J301" i="2"/>
  <c r="E734" i="2"/>
  <c r="E710" i="2"/>
  <c r="E647" i="2"/>
  <c r="E603" i="2"/>
  <c r="E555" i="2"/>
  <c r="E728" i="2"/>
  <c r="E651" i="2"/>
  <c r="E574" i="2"/>
  <c r="E739" i="2"/>
  <c r="E671" i="2"/>
  <c r="E610" i="2"/>
  <c r="E680" i="2"/>
  <c r="E585" i="2"/>
  <c r="E652" i="2"/>
  <c r="E599" i="2"/>
  <c r="E685" i="2"/>
  <c r="E668" i="2"/>
  <c r="E653" i="2"/>
  <c r="E745" i="2"/>
  <c r="J305" i="2"/>
  <c r="J285" i="2"/>
  <c r="E708" i="2"/>
  <c r="E732" i="2"/>
  <c r="E771" i="2"/>
  <c r="E634" i="2"/>
  <c r="E643" i="2"/>
  <c r="E707" i="2"/>
  <c r="E742" i="2"/>
  <c r="E691" i="2"/>
  <c r="E582" i="2"/>
  <c r="E662" i="2"/>
  <c r="E587" i="2"/>
  <c r="E666" i="2"/>
  <c r="E607" i="2"/>
  <c r="E552" i="2"/>
  <c r="E581" i="2"/>
  <c r="E763" i="2"/>
  <c r="E705" i="2"/>
  <c r="E766" i="2"/>
  <c r="E597" i="2"/>
  <c r="E674" i="2"/>
  <c r="E761" i="2"/>
  <c r="E612" i="2"/>
  <c r="E714" i="2"/>
  <c r="E716" i="2"/>
  <c r="E568" i="2"/>
  <c r="E571" i="2"/>
  <c r="E622" i="2"/>
  <c r="E681" i="2"/>
  <c r="E589" i="2"/>
  <c r="E628" i="2"/>
  <c r="E639" i="2"/>
  <c r="E646" i="2"/>
  <c r="E648" i="2"/>
  <c r="E570" i="2"/>
  <c r="E703" i="2"/>
  <c r="E545" i="2"/>
  <c r="E706" i="2"/>
  <c r="E611" i="2"/>
  <c r="E604" i="2"/>
  <c r="J273" i="2"/>
  <c r="E663" i="2"/>
  <c r="E709" i="2"/>
  <c r="J293" i="2"/>
  <c r="E697" i="2"/>
  <c r="E601" i="2"/>
  <c r="E720" i="2"/>
  <c r="E608" i="2"/>
  <c r="E565" i="2"/>
  <c r="E740" i="2"/>
  <c r="E579" i="2"/>
  <c r="E715" i="2"/>
  <c r="E626" i="2"/>
  <c r="J291" i="2"/>
  <c r="E736" i="2"/>
  <c r="E741" i="2"/>
  <c r="E558" i="2"/>
  <c r="E630" i="2"/>
  <c r="E722" i="2"/>
  <c r="J275" i="2"/>
  <c r="E749" i="2"/>
  <c r="J295" i="2"/>
  <c r="E758" i="2"/>
  <c r="E746" i="2"/>
  <c r="E690" i="2"/>
  <c r="E661" i="2"/>
  <c r="J279" i="2"/>
  <c r="E655" i="2"/>
  <c r="E665" i="2"/>
  <c r="E747" i="2"/>
  <c r="E688" i="2"/>
  <c r="E616" i="2"/>
  <c r="E613" i="2"/>
  <c r="E650" i="2"/>
  <c r="E644" i="2"/>
  <c r="E629" i="2"/>
  <c r="J297" i="2"/>
  <c r="E737" i="2"/>
  <c r="E769" i="2"/>
  <c r="E752" i="2"/>
  <c r="J289" i="2"/>
  <c r="E576" i="2"/>
  <c r="E765" i="2"/>
  <c r="E669" i="2"/>
  <c r="E640" i="2"/>
  <c r="E692" i="2"/>
  <c r="E676" i="2"/>
  <c r="E602" i="2"/>
  <c r="E767" i="2"/>
  <c r="E625" i="2"/>
  <c r="E755" i="2"/>
  <c r="E553" i="2"/>
  <c r="E584" i="2"/>
  <c r="E569" i="2"/>
  <c r="E583" i="2"/>
  <c r="E704" i="2"/>
  <c r="J284" i="2"/>
  <c r="E727" i="2"/>
  <c r="E698" i="2"/>
  <c r="E546" i="2"/>
  <c r="E621" i="2"/>
  <c r="E729" i="2"/>
  <c r="E542" i="2"/>
  <c r="E627" i="2"/>
  <c r="E617" i="2"/>
  <c r="E564" i="2"/>
  <c r="E544" i="2"/>
  <c r="E554" i="2"/>
  <c r="E696" i="2"/>
  <c r="E619" i="2"/>
  <c r="E686" i="2"/>
  <c r="E670" i="2"/>
  <c r="E738" i="2"/>
  <c r="E657" i="2"/>
  <c r="E573" i="2"/>
  <c r="E672" i="2"/>
  <c r="E586" i="2"/>
  <c r="E735" i="2"/>
  <c r="E684" i="2"/>
  <c r="E620" i="2"/>
  <c r="E721" i="2"/>
  <c r="E641" i="2"/>
  <c r="E744" i="2"/>
  <c r="E577" i="2"/>
  <c r="J294" i="2"/>
  <c r="E645" i="2"/>
  <c r="E659" i="2"/>
  <c r="J299" i="2"/>
  <c r="E575" i="2"/>
  <c r="E733" i="2"/>
  <c r="E561" i="2"/>
  <c r="E600" i="2"/>
  <c r="E593" i="2"/>
  <c r="E557" i="2"/>
  <c r="E556" i="2"/>
  <c r="J281" i="2"/>
  <c r="E567" i="2"/>
  <c r="J280" i="2"/>
  <c r="E694" i="2"/>
  <c r="E614" i="2"/>
  <c r="E760" i="2"/>
  <c r="E675" i="2"/>
  <c r="E642" i="2"/>
  <c r="J302" i="2"/>
  <c r="E667" i="2"/>
  <c r="J292" i="2"/>
  <c r="E724" i="2"/>
  <c r="E757" i="2"/>
  <c r="E578" i="2"/>
  <c r="E540" i="2"/>
  <c r="E673" i="2"/>
  <c r="J274" i="2"/>
  <c r="E717" i="2"/>
  <c r="E560" i="2"/>
  <c r="E548" i="2"/>
  <c r="E682" i="2"/>
  <c r="E753" i="2"/>
  <c r="E683" i="2"/>
  <c r="J288" i="2"/>
  <c r="E677" i="2"/>
  <c r="J290" i="2"/>
  <c r="E550" i="2"/>
  <c r="E623" i="2"/>
  <c r="E687" i="2"/>
  <c r="E700" i="2"/>
  <c r="E615" i="2"/>
  <c r="E712" i="2"/>
  <c r="E549" i="2"/>
  <c r="E590" i="2"/>
  <c r="E702" i="2"/>
  <c r="E770" i="2"/>
  <c r="E664" i="2"/>
  <c r="E713" i="2"/>
  <c r="E756" i="2"/>
  <c r="E588" i="2"/>
  <c r="E633" i="2"/>
  <c r="E660" i="2"/>
  <c r="E605" i="2"/>
  <c r="E594" i="2"/>
  <c r="E726" i="2"/>
  <c r="J283" i="2"/>
  <c r="J303" i="2"/>
  <c r="E598" i="2"/>
  <c r="J307" i="2"/>
  <c r="J306" i="2"/>
  <c r="E719" i="2"/>
  <c r="E695" i="2"/>
  <c r="E731" i="2"/>
  <c r="E679" i="2"/>
  <c r="E606" i="2"/>
  <c r="E751" i="2"/>
  <c r="E658" i="2"/>
  <c r="E637" i="2"/>
  <c r="E547" i="2"/>
  <c r="E759" i="2"/>
  <c r="J286" i="2"/>
  <c r="E507" i="2"/>
  <c r="E506" i="2"/>
  <c r="E503" i="2"/>
  <c r="E508" i="2"/>
  <c r="E500" i="2"/>
  <c r="E538" i="2"/>
  <c r="E525" i="2"/>
  <c r="E515" i="2"/>
  <c r="E495" i="2"/>
  <c r="E499" i="2"/>
  <c r="E492" i="2"/>
  <c r="E501" i="2"/>
  <c r="E482" i="2"/>
  <c r="E526" i="2"/>
  <c r="E528" i="2"/>
  <c r="E535" i="2"/>
  <c r="E532" i="2"/>
  <c r="E529" i="2"/>
  <c r="E514" i="2"/>
  <c r="E505" i="2"/>
  <c r="E519" i="2"/>
  <c r="E481" i="2"/>
  <c r="E483" i="2"/>
  <c r="E473" i="2"/>
  <c r="E516" i="2"/>
  <c r="E509" i="2"/>
  <c r="E476" i="2"/>
  <c r="E531" i="2"/>
  <c r="E530" i="2"/>
  <c r="E485" i="2"/>
  <c r="E524" i="2"/>
  <c r="E504" i="2"/>
  <c r="E479" i="2"/>
  <c r="E491" i="2"/>
  <c r="E502" i="2"/>
  <c r="E480" i="2"/>
  <c r="E497" i="2"/>
  <c r="E513" i="2"/>
  <c r="E474" i="2"/>
  <c r="E536" i="2"/>
  <c r="E533" i="2"/>
  <c r="E477" i="2"/>
  <c r="E498" i="2"/>
  <c r="E517" i="2"/>
  <c r="E484" i="2"/>
  <c r="E489" i="2"/>
  <c r="E486" i="2"/>
  <c r="E521" i="2"/>
  <c r="E512" i="2"/>
  <c r="E487" i="2"/>
  <c r="E523" i="2"/>
  <c r="E539" i="2"/>
  <c r="E534" i="2"/>
  <c r="E490" i="2"/>
  <c r="E494" i="2"/>
  <c r="E488" i="2"/>
  <c r="E522" i="2"/>
  <c r="E496" i="2"/>
  <c r="E527" i="2"/>
  <c r="E537" i="2"/>
  <c r="E510" i="2"/>
  <c r="E493" i="2"/>
  <c r="E511" i="2"/>
  <c r="E518" i="2"/>
  <c r="E520" i="2"/>
  <c r="E475" i="2"/>
  <c r="E478" i="2"/>
  <c r="L272" i="2"/>
  <c r="M272" i="2" s="1"/>
  <c r="E462" i="2"/>
  <c r="E419" i="2"/>
  <c r="E380" i="2"/>
  <c r="E377" i="2"/>
  <c r="E441" i="2"/>
  <c r="E406" i="2"/>
  <c r="E414" i="2"/>
  <c r="E470" i="2"/>
  <c r="E464" i="2"/>
  <c r="E374" i="2"/>
  <c r="E458" i="2"/>
  <c r="E449" i="2"/>
  <c r="E396" i="2"/>
  <c r="E440" i="2"/>
  <c r="E454" i="2"/>
  <c r="E400" i="2"/>
  <c r="E405" i="2"/>
  <c r="E465" i="2"/>
  <c r="E463" i="2"/>
  <c r="E428" i="2"/>
  <c r="E387" i="2"/>
  <c r="E448" i="2"/>
  <c r="E447" i="2"/>
  <c r="E417" i="2"/>
  <c r="E421" i="2"/>
  <c r="E438" i="2"/>
  <c r="E424" i="2"/>
  <c r="E456" i="2"/>
  <c r="E373" i="2"/>
  <c r="E459" i="2"/>
  <c r="E425" i="2"/>
  <c r="E433" i="2"/>
  <c r="E378" i="2"/>
  <c r="E445" i="2"/>
  <c r="E466" i="2"/>
  <c r="E384" i="2"/>
  <c r="E412" i="2"/>
  <c r="E471" i="2"/>
  <c r="E439" i="2"/>
  <c r="E388" i="2"/>
  <c r="E469" i="2"/>
  <c r="E446" i="2"/>
  <c r="E418" i="2"/>
  <c r="E420" i="2"/>
  <c r="E415" i="2"/>
  <c r="E442" i="2"/>
  <c r="E451" i="2"/>
  <c r="E432" i="2"/>
  <c r="E444" i="2"/>
  <c r="E383" i="2"/>
  <c r="E455" i="2"/>
  <c r="E399" i="2"/>
  <c r="E450" i="2"/>
  <c r="E382" i="2"/>
  <c r="E423" i="2"/>
  <c r="E397" i="2"/>
  <c r="E391" i="2"/>
  <c r="E416" i="2"/>
  <c r="E472" i="2"/>
  <c r="E372" i="2"/>
  <c r="E437" i="2"/>
  <c r="E390" i="2"/>
  <c r="E381" i="2"/>
  <c r="E461" i="2"/>
  <c r="E398" i="2"/>
  <c r="E385" i="2"/>
  <c r="E452" i="2"/>
  <c r="E392" i="2"/>
  <c r="E389" i="2"/>
  <c r="E422" i="2"/>
  <c r="E460" i="2"/>
  <c r="E413" i="2"/>
  <c r="E453" i="2"/>
  <c r="E429" i="2"/>
  <c r="E426" i="2"/>
  <c r="E431" i="2"/>
  <c r="E386" i="2"/>
  <c r="E376" i="2"/>
  <c r="E467" i="2"/>
  <c r="E403" i="2"/>
  <c r="E443" i="2"/>
  <c r="E435" i="2"/>
  <c r="E402" i="2"/>
  <c r="E409" i="2"/>
  <c r="E427" i="2"/>
  <c r="E468" i="2"/>
  <c r="E393" i="2"/>
  <c r="E436" i="2"/>
  <c r="E434" i="2"/>
  <c r="E407" i="2"/>
  <c r="E401" i="2"/>
  <c r="E379" i="2"/>
  <c r="E395" i="2"/>
  <c r="E457" i="2"/>
  <c r="E394" i="2"/>
  <c r="E410" i="2"/>
  <c r="E408" i="2"/>
  <c r="E430" i="2"/>
  <c r="E404" i="2"/>
  <c r="E411" i="2"/>
  <c r="E375" i="2"/>
  <c r="E330" i="2"/>
  <c r="E341" i="2"/>
  <c r="E355" i="2"/>
  <c r="E357" i="2"/>
  <c r="E368" i="2"/>
  <c r="E360" i="2"/>
  <c r="E350" i="2"/>
  <c r="E370" i="2"/>
  <c r="E365" i="2"/>
  <c r="E342" i="2"/>
  <c r="E361" i="2"/>
  <c r="E329" i="2"/>
  <c r="E326" i="2"/>
  <c r="E353" i="2"/>
  <c r="E339" i="2"/>
  <c r="E334" i="2"/>
  <c r="E344" i="2"/>
  <c r="E359" i="2"/>
  <c r="E335" i="2"/>
  <c r="E352" i="2"/>
  <c r="E336" i="2"/>
  <c r="E324" i="2"/>
  <c r="E362" i="2"/>
  <c r="E369" i="2"/>
  <c r="E349" i="2"/>
  <c r="E331" i="2"/>
  <c r="E328" i="2"/>
  <c r="E354" i="2"/>
  <c r="E358" i="2"/>
  <c r="E333" i="2"/>
  <c r="E323" i="2"/>
  <c r="E371" i="2"/>
  <c r="E356" i="2"/>
  <c r="E332" i="2"/>
  <c r="E348" i="2"/>
  <c r="E351" i="2"/>
  <c r="E346" i="2"/>
  <c r="E340" i="2"/>
  <c r="E325" i="2"/>
  <c r="E322" i="2"/>
  <c r="E364" i="2"/>
  <c r="E366" i="2"/>
  <c r="E338" i="2"/>
  <c r="E367" i="2"/>
  <c r="E337" i="2"/>
  <c r="E363" i="2"/>
  <c r="E345" i="2"/>
  <c r="E327" i="2"/>
  <c r="E343" i="2"/>
  <c r="E347" i="2"/>
  <c r="F9" i="15" l="1"/>
  <c r="F32" i="15"/>
  <c r="F24" i="15"/>
  <c r="F22" i="15"/>
  <c r="F20" i="15"/>
  <c r="L23" i="15"/>
  <c r="L19" i="15"/>
  <c r="J21" i="15"/>
  <c r="F33" i="15"/>
  <c r="F19" i="15"/>
  <c r="L24" i="15"/>
  <c r="J32" i="15"/>
  <c r="J22" i="15"/>
  <c r="H24" i="15"/>
  <c r="L33" i="15"/>
  <c r="L21" i="15"/>
  <c r="H32" i="15"/>
  <c r="J33" i="15"/>
  <c r="J23" i="15"/>
  <c r="J19" i="15"/>
  <c r="H23" i="15"/>
  <c r="H21" i="15"/>
  <c r="F23" i="15"/>
  <c r="L20" i="15"/>
  <c r="J20" i="15"/>
  <c r="H20" i="15"/>
  <c r="H33" i="15"/>
  <c r="H19" i="15"/>
  <c r="F21" i="15"/>
  <c r="L22" i="15"/>
  <c r="J24" i="15"/>
  <c r="L32" i="15"/>
  <c r="H22" i="15"/>
  <c r="F13" i="15"/>
  <c r="P22" i="6"/>
  <c r="N21" i="6"/>
  <c r="F31" i="14" s="1"/>
  <c r="F31" i="15" s="1"/>
  <c r="L210" i="2"/>
  <c r="L213" i="2"/>
  <c r="L209" i="2"/>
  <c r="L212" i="2"/>
  <c r="L211" i="2"/>
  <c r="C207" i="2"/>
  <c r="C206" i="2" s="1"/>
  <c r="C209" i="2"/>
  <c r="C213" i="2"/>
  <c r="C211" i="2"/>
  <c r="C212" i="2"/>
  <c r="C210" i="2"/>
  <c r="J44" i="15"/>
  <c r="L44" i="15"/>
  <c r="H44" i="15"/>
  <c r="L3" i="13"/>
  <c r="L273" i="2"/>
  <c r="M273" i="2" s="1"/>
  <c r="L224" i="2" s="1"/>
  <c r="M224" i="2" s="1"/>
  <c r="G232" i="2" s="1"/>
  <c r="U173" i="2"/>
  <c r="T175" i="2" s="1"/>
  <c r="F25" i="12" s="1"/>
  <c r="L277" i="2"/>
  <c r="M277" i="2" s="1"/>
  <c r="L228" i="2" s="1"/>
  <c r="M228" i="2" s="1"/>
  <c r="L274" i="2"/>
  <c r="M274" i="2" s="1"/>
  <c r="L225" i="2" s="1"/>
  <c r="M225" i="2" s="1"/>
  <c r="H232" i="2" s="1"/>
  <c r="L276" i="2"/>
  <c r="M276" i="2" s="1"/>
  <c r="L227" i="2" s="1"/>
  <c r="M227" i="2" s="1"/>
  <c r="L275" i="2"/>
  <c r="M275" i="2" s="1"/>
  <c r="L226" i="2" s="1"/>
  <c r="M226" i="2" s="1"/>
  <c r="M208" i="2" l="1"/>
  <c r="M207" i="2" s="1"/>
  <c r="M206" i="2" s="1"/>
  <c r="K43" i="6" s="1"/>
  <c r="Q249" i="2"/>
  <c r="L37" i="14"/>
  <c r="L37" i="15" s="1"/>
  <c r="L37" i="12"/>
  <c r="J37" i="14"/>
  <c r="J37" i="15" s="1"/>
  <c r="H37" i="14"/>
  <c r="H37" i="15" s="1"/>
  <c r="J37" i="12"/>
  <c r="F37" i="14"/>
  <c r="F37" i="15" s="1"/>
  <c r="F37" i="12"/>
  <c r="H37" i="12"/>
  <c r="N37" i="12"/>
  <c r="D208" i="2"/>
  <c r="F27" i="12"/>
  <c r="F26" i="12"/>
  <c r="F29" i="12"/>
  <c r="F28" i="12"/>
  <c r="F30" i="12"/>
  <c r="N18" i="12"/>
  <c r="N31" i="12"/>
  <c r="J36" i="6"/>
  <c r="H31" i="14"/>
  <c r="H31" i="15" s="1"/>
  <c r="J18" i="12"/>
  <c r="W175" i="2"/>
  <c r="L25" i="12" s="1"/>
  <c r="U175" i="2"/>
  <c r="F25" i="14" s="1"/>
  <c r="F25" i="15" s="1"/>
  <c r="H18" i="12"/>
  <c r="J43" i="6"/>
  <c r="Z207" i="2"/>
  <c r="R43" i="6"/>
  <c r="R48" i="6" s="1"/>
  <c r="Q250" i="2"/>
  <c r="J37" i="6"/>
  <c r="U206" i="2" s="1"/>
  <c r="P36" i="6"/>
  <c r="P39" i="6" s="1"/>
  <c r="Q43" i="6"/>
  <c r="Q48" i="6" s="1"/>
  <c r="X175" i="2"/>
  <c r="L25" i="14" s="1"/>
  <c r="L25" i="15" s="1"/>
  <c r="AD206" i="2"/>
  <c r="AD207" i="2"/>
  <c r="J31" i="12"/>
  <c r="I237" i="2"/>
  <c r="G55" i="6" s="1"/>
  <c r="R36" i="6"/>
  <c r="R41" i="6" s="1"/>
  <c r="J18" i="14"/>
  <c r="J18" i="15" s="1"/>
  <c r="P43" i="6"/>
  <c r="P45" i="6" s="1"/>
  <c r="AC206" i="2"/>
  <c r="Q252" i="2"/>
  <c r="L18" i="14"/>
  <c r="L18" i="15" s="1"/>
  <c r="AB206" i="2"/>
  <c r="L31" i="12"/>
  <c r="J237" i="2"/>
  <c r="I55" i="6" s="1"/>
  <c r="L237" i="2"/>
  <c r="M55" i="6" s="1"/>
  <c r="M14" i="12" s="1"/>
  <c r="F237" i="2" s="1"/>
  <c r="F238" i="2" s="1"/>
  <c r="N35" i="12" s="1"/>
  <c r="L18" i="12"/>
  <c r="P250" i="2"/>
  <c r="Q251" i="2"/>
  <c r="J44" i="6"/>
  <c r="J47" i="6" s="1"/>
  <c r="H18" i="14"/>
  <c r="H18" i="15" s="1"/>
  <c r="F34" i="12"/>
  <c r="Q248" i="2"/>
  <c r="M237" i="2"/>
  <c r="O55" i="6" s="1"/>
  <c r="N14" i="12" s="1"/>
  <c r="L31" i="14"/>
  <c r="L31" i="15" s="1"/>
  <c r="Q36" i="6"/>
  <c r="Q41" i="6" s="1"/>
  <c r="J173" i="2"/>
  <c r="P251" i="2"/>
  <c r="F18" i="14"/>
  <c r="F18" i="15" s="1"/>
  <c r="V175" i="2"/>
  <c r="H25" i="14" s="1"/>
  <c r="H25" i="15" s="1"/>
  <c r="X247" i="2"/>
  <c r="P248" i="2"/>
  <c r="AC207" i="2"/>
  <c r="P249" i="2"/>
  <c r="H31" i="12"/>
  <c r="K237" i="2"/>
  <c r="K55" i="6" s="1"/>
  <c r="O43" i="6"/>
  <c r="O47" i="6" s="1"/>
  <c r="P252" i="2"/>
  <c r="N237" i="2"/>
  <c r="Q55" i="6" s="1"/>
  <c r="F31" i="12"/>
  <c r="F34" i="14"/>
  <c r="F34" i="15" s="1"/>
  <c r="AB207" i="2"/>
  <c r="AA206" i="2"/>
  <c r="O36" i="6"/>
  <c r="O38" i="6" s="1"/>
  <c r="F18" i="12"/>
  <c r="Z206" i="2"/>
  <c r="J31" i="14"/>
  <c r="J31" i="15" s="1"/>
  <c r="AA207" i="2"/>
  <c r="Q45" i="6"/>
  <c r="R45" i="6"/>
  <c r="M21" i="9"/>
  <c r="K232" i="2"/>
  <c r="H34" i="12"/>
  <c r="R46" i="6"/>
  <c r="R39" i="6"/>
  <c r="J232" i="2"/>
  <c r="J21" i="9"/>
  <c r="I232" i="2"/>
  <c r="G21" i="9"/>
  <c r="M209" i="2" l="1"/>
  <c r="M213" i="2"/>
  <c r="M212" i="2"/>
  <c r="M210" i="2"/>
  <c r="M211" i="2"/>
  <c r="R40" i="6"/>
  <c r="R38" i="6"/>
  <c r="Q46" i="6"/>
  <c r="Q47" i="6"/>
  <c r="L26" i="14"/>
  <c r="L26" i="15" s="1"/>
  <c r="H26" i="14"/>
  <c r="H26" i="15" s="1"/>
  <c r="F26" i="14"/>
  <c r="F26" i="15" s="1"/>
  <c r="R47" i="6"/>
  <c r="Q40" i="6"/>
  <c r="J25" i="14"/>
  <c r="J25" i="15" s="1"/>
  <c r="J25" i="12"/>
  <c r="J30" i="12" s="1"/>
  <c r="O39" i="6"/>
  <c r="K44" i="6"/>
  <c r="K48" i="6" s="1"/>
  <c r="O41" i="6"/>
  <c r="I14" i="14"/>
  <c r="L14" i="9" s="1"/>
  <c r="G23" i="9" s="1"/>
  <c r="G24" i="9" s="1"/>
  <c r="I14" i="15"/>
  <c r="H14" i="14"/>
  <c r="J14" i="9" s="1"/>
  <c r="H14" i="15"/>
  <c r="L14" i="12"/>
  <c r="E237" i="2" s="1"/>
  <c r="E238" i="2" s="1"/>
  <c r="L35" i="12" s="1"/>
  <c r="J14" i="15"/>
  <c r="M14" i="14"/>
  <c r="T14" i="9" s="1"/>
  <c r="S23" i="9" s="1"/>
  <c r="M14" i="15"/>
  <c r="K14" i="14"/>
  <c r="P14" i="9" s="1"/>
  <c r="M23" i="9" s="1"/>
  <c r="K14" i="15"/>
  <c r="L14" i="14"/>
  <c r="R14" i="9" s="1"/>
  <c r="P23" i="9" s="1"/>
  <c r="L14" i="15"/>
  <c r="D207" i="2"/>
  <c r="D212" i="2"/>
  <c r="D210" i="2"/>
  <c r="D211" i="2"/>
  <c r="D213" i="2"/>
  <c r="D209" i="2"/>
  <c r="N25" i="12"/>
  <c r="P47" i="6"/>
  <c r="L30" i="12"/>
  <c r="L28" i="12"/>
  <c r="L27" i="12"/>
  <c r="L26" i="12"/>
  <c r="L29" i="12"/>
  <c r="P48" i="6"/>
  <c r="P46" i="6"/>
  <c r="J38" i="6"/>
  <c r="U207" i="2"/>
  <c r="J40" i="6"/>
  <c r="J39" i="6"/>
  <c r="J41" i="6"/>
  <c r="K14" i="12"/>
  <c r="D237" i="2" s="1"/>
  <c r="D238" i="2" s="1"/>
  <c r="J35" i="12" s="1"/>
  <c r="Q38" i="6"/>
  <c r="O40" i="6"/>
  <c r="O48" i="6"/>
  <c r="P40" i="6"/>
  <c r="H25" i="12"/>
  <c r="I14" i="12"/>
  <c r="B237" i="2" s="1"/>
  <c r="B238" i="2" s="1"/>
  <c r="F35" i="12" s="1"/>
  <c r="F41" i="12" s="1"/>
  <c r="AB7" i="13" s="1"/>
  <c r="P41" i="6"/>
  <c r="P38" i="6"/>
  <c r="O45" i="6"/>
  <c r="J46" i="6"/>
  <c r="J14" i="12"/>
  <c r="C237" i="2" s="1"/>
  <c r="C238" i="2" s="1"/>
  <c r="O46" i="6"/>
  <c r="U247" i="2"/>
  <c r="Q39" i="6"/>
  <c r="J48" i="6"/>
  <c r="J45" i="6"/>
  <c r="J14" i="14"/>
  <c r="Q247" i="2"/>
  <c r="O14" i="12"/>
  <c r="L34" i="14"/>
  <c r="L34" i="15" s="1"/>
  <c r="N34" i="12"/>
  <c r="H34" i="14"/>
  <c r="H34" i="15" s="1"/>
  <c r="J34" i="12"/>
  <c r="L34" i="12"/>
  <c r="J34" i="14"/>
  <c r="J34" i="15" s="1"/>
  <c r="N36" i="12"/>
  <c r="N208" i="2" l="1"/>
  <c r="N209" i="2" s="1"/>
  <c r="F27" i="14"/>
  <c r="F27" i="15" s="1"/>
  <c r="H27" i="14"/>
  <c r="H27" i="15" s="1"/>
  <c r="L27" i="14"/>
  <c r="L27" i="15" s="1"/>
  <c r="J26" i="12"/>
  <c r="J26" i="14"/>
  <c r="J26" i="15" s="1"/>
  <c r="J29" i="12"/>
  <c r="F35" i="14"/>
  <c r="F35" i="15" s="1"/>
  <c r="V207" i="2"/>
  <c r="K47" i="6"/>
  <c r="K46" i="6"/>
  <c r="J27" i="12"/>
  <c r="K45" i="6"/>
  <c r="J28" i="12"/>
  <c r="Z247" i="2"/>
  <c r="G25" i="9"/>
  <c r="F15" i="10" s="1"/>
  <c r="L35" i="14"/>
  <c r="L35" i="15" s="1"/>
  <c r="E208" i="2"/>
  <c r="E213" i="2" s="1"/>
  <c r="M24" i="9"/>
  <c r="M25" i="9" s="1"/>
  <c r="H15" i="10" s="1"/>
  <c r="J35" i="14"/>
  <c r="J35" i="15" s="1"/>
  <c r="S24" i="9"/>
  <c r="S25" i="9" s="1"/>
  <c r="J15" i="10" s="1"/>
  <c r="L36" i="12"/>
  <c r="L38" i="12" s="1"/>
  <c r="P7" i="13" s="1"/>
  <c r="D206" i="2"/>
  <c r="K36" i="6" s="1"/>
  <c r="K37" i="6"/>
  <c r="P24" i="9"/>
  <c r="P25" i="9" s="1"/>
  <c r="I15" i="10" s="1"/>
  <c r="N26" i="12"/>
  <c r="N38" i="12" s="1"/>
  <c r="Q7" i="13" s="1"/>
  <c r="N27" i="12"/>
  <c r="N39" i="12" s="1"/>
  <c r="V7" i="13" s="1"/>
  <c r="N28" i="12"/>
  <c r="N40" i="12" s="1"/>
  <c r="AA7" i="13" s="1"/>
  <c r="N30" i="12"/>
  <c r="N42" i="12" s="1"/>
  <c r="AK7" i="13" s="1"/>
  <c r="N29" i="12"/>
  <c r="N41" i="12" s="1"/>
  <c r="AF7" i="13" s="1"/>
  <c r="H28" i="12"/>
  <c r="H26" i="12"/>
  <c r="H29" i="12"/>
  <c r="H30" i="12"/>
  <c r="H27" i="12"/>
  <c r="J36" i="12"/>
  <c r="H35" i="14"/>
  <c r="H35" i="15" s="1"/>
  <c r="H35" i="12"/>
  <c r="H36" i="12" s="1"/>
  <c r="F36" i="12"/>
  <c r="F39" i="12" s="1"/>
  <c r="R7" i="13" s="1"/>
  <c r="F42" i="12"/>
  <c r="AG7" i="13" s="1"/>
  <c r="F38" i="12"/>
  <c r="M7" i="13" s="1"/>
  <c r="F40" i="12"/>
  <c r="W7" i="13" s="1"/>
  <c r="N14" i="9"/>
  <c r="J23" i="9" s="1"/>
  <c r="J24" i="9" s="1"/>
  <c r="N212" i="2" l="1"/>
  <c r="N207" i="2"/>
  <c r="N206" i="2" s="1"/>
  <c r="L43" i="6" s="1"/>
  <c r="N213" i="2"/>
  <c r="N211" i="2"/>
  <c r="N210" i="2"/>
  <c r="L28" i="14"/>
  <c r="L28" i="15" s="1"/>
  <c r="H28" i="14"/>
  <c r="H28" i="15" s="1"/>
  <c r="F28" i="14"/>
  <c r="F28" i="15" s="1"/>
  <c r="F36" i="14"/>
  <c r="F36" i="15" s="1"/>
  <c r="L44" i="6"/>
  <c r="L45" i="6" s="1"/>
  <c r="J27" i="14"/>
  <c r="J27" i="15" s="1"/>
  <c r="J40" i="12"/>
  <c r="Y7" i="13" s="1"/>
  <c r="N43" i="12"/>
  <c r="F7" i="13" s="1"/>
  <c r="J41" i="12"/>
  <c r="AD7" i="13" s="1"/>
  <c r="L40" i="12"/>
  <c r="Z7" i="13" s="1"/>
  <c r="L42" i="12"/>
  <c r="AJ7" i="13" s="1"/>
  <c r="J42" i="12"/>
  <c r="AI7" i="13" s="1"/>
  <c r="J39" i="12"/>
  <c r="T7" i="13" s="1"/>
  <c r="J38" i="12"/>
  <c r="O7" i="13" s="1"/>
  <c r="L39" i="12"/>
  <c r="U7" i="13" s="1"/>
  <c r="L41" i="12"/>
  <c r="AE7" i="13" s="1"/>
  <c r="J36" i="14"/>
  <c r="J36" i="15" s="1"/>
  <c r="E212" i="2"/>
  <c r="E207" i="2"/>
  <c r="E206" i="2" s="1"/>
  <c r="L36" i="6" s="1"/>
  <c r="E211" i="2"/>
  <c r="L36" i="14"/>
  <c r="L36" i="15" s="1"/>
  <c r="E210" i="2"/>
  <c r="E209" i="2"/>
  <c r="K38" i="6"/>
  <c r="K40" i="6"/>
  <c r="K41" i="6"/>
  <c r="K39" i="6"/>
  <c r="V206" i="2"/>
  <c r="H36" i="14"/>
  <c r="H36" i="15" s="1"/>
  <c r="H41" i="12"/>
  <c r="AC7" i="13" s="1"/>
  <c r="H38" i="12"/>
  <c r="H39" i="12"/>
  <c r="S7" i="13" s="1"/>
  <c r="H40" i="12"/>
  <c r="X7" i="13" s="1"/>
  <c r="H42" i="12"/>
  <c r="AH7" i="13" s="1"/>
  <c r="F43" i="12"/>
  <c r="D14" i="10" s="1"/>
  <c r="J25" i="9"/>
  <c r="G15" i="10" s="1"/>
  <c r="O208" i="2" l="1"/>
  <c r="O210" i="2" s="1"/>
  <c r="F39" i="14"/>
  <c r="F39" i="15" s="1"/>
  <c r="F40" i="14"/>
  <c r="F40" i="15" s="1"/>
  <c r="F38" i="14"/>
  <c r="F38" i="15" s="1"/>
  <c r="L46" i="6"/>
  <c r="W207" i="2"/>
  <c r="L47" i="6"/>
  <c r="L48" i="6"/>
  <c r="F29" i="14"/>
  <c r="F29" i="15" s="1"/>
  <c r="H29" i="14"/>
  <c r="H29" i="15" s="1"/>
  <c r="L29" i="14"/>
  <c r="L29" i="15" s="1"/>
  <c r="L37" i="6"/>
  <c r="L41" i="6" s="1"/>
  <c r="J28" i="14"/>
  <c r="J28" i="15" s="1"/>
  <c r="H40" i="14"/>
  <c r="H40" i="15" s="1"/>
  <c r="G26" i="9"/>
  <c r="C260" i="2" s="1"/>
  <c r="D260" i="2" s="1"/>
  <c r="E260" i="2" s="1"/>
  <c r="F260" i="2" s="1"/>
  <c r="H39" i="14"/>
  <c r="H39" i="15" s="1"/>
  <c r="H38" i="14"/>
  <c r="H38" i="15" s="1"/>
  <c r="J43" i="12"/>
  <c r="D7" i="13" s="1"/>
  <c r="L43" i="12"/>
  <c r="E7" i="13" s="1"/>
  <c r="L38" i="14"/>
  <c r="L38" i="15" s="1"/>
  <c r="J38" i="14"/>
  <c r="J38" i="15" s="1"/>
  <c r="J39" i="14"/>
  <c r="J39" i="15" s="1"/>
  <c r="L40" i="14"/>
  <c r="L40" i="15" s="1"/>
  <c r="F208" i="2"/>
  <c r="F209" i="2" s="1"/>
  <c r="L39" i="14"/>
  <c r="L39" i="15" s="1"/>
  <c r="H43" i="12"/>
  <c r="N7" i="13"/>
  <c r="B7" i="13"/>
  <c r="O207" i="2" l="1"/>
  <c r="O206" i="2" s="1"/>
  <c r="M43" i="6" s="1"/>
  <c r="O213" i="2"/>
  <c r="O211" i="2"/>
  <c r="O209" i="2"/>
  <c r="O212" i="2"/>
  <c r="O7" i="16"/>
  <c r="Q7" i="16"/>
  <c r="V7" i="16"/>
  <c r="T7" i="16"/>
  <c r="N7" i="16"/>
  <c r="U7" i="16"/>
  <c r="Y7" i="16"/>
  <c r="X7" i="16"/>
  <c r="AA7" i="16"/>
  <c r="P7" i="16"/>
  <c r="S7" i="16"/>
  <c r="L41" i="14"/>
  <c r="L41" i="15" s="1"/>
  <c r="H41" i="14"/>
  <c r="H41" i="15" s="1"/>
  <c r="F41" i="14"/>
  <c r="F41" i="15" s="1"/>
  <c r="F212" i="2"/>
  <c r="F210" i="2"/>
  <c r="F207" i="2"/>
  <c r="F206" i="2" s="1"/>
  <c r="M36" i="6" s="1"/>
  <c r="L40" i="6"/>
  <c r="W206" i="2"/>
  <c r="L38" i="6"/>
  <c r="L39" i="6"/>
  <c r="L30" i="14"/>
  <c r="L30" i="15" s="1"/>
  <c r="H30" i="14"/>
  <c r="H30" i="15" s="1"/>
  <c r="J40" i="14"/>
  <c r="J40" i="15" s="1"/>
  <c r="F30" i="14"/>
  <c r="F30" i="15" s="1"/>
  <c r="F213" i="2"/>
  <c r="F211" i="2"/>
  <c r="J29" i="14"/>
  <c r="J29" i="15" s="1"/>
  <c r="F44" i="12"/>
  <c r="C7" i="13"/>
  <c r="P208" i="2" l="1"/>
  <c r="P209" i="2" s="1"/>
  <c r="M44" i="6"/>
  <c r="M46" i="6" s="1"/>
  <c r="AF7" i="16"/>
  <c r="AC7" i="16"/>
  <c r="Z7" i="16"/>
  <c r="AD7" i="16"/>
  <c r="M37" i="6"/>
  <c r="M39" i="6" s="1"/>
  <c r="F42" i="14"/>
  <c r="F42" i="15" s="1"/>
  <c r="H42" i="14"/>
  <c r="H42" i="15" s="1"/>
  <c r="L42" i="14"/>
  <c r="L42" i="15" s="1"/>
  <c r="G208" i="2"/>
  <c r="G207" i="2" s="1"/>
  <c r="G206" i="2" s="1"/>
  <c r="J30" i="14"/>
  <c r="J30" i="15" s="1"/>
  <c r="J41" i="14"/>
  <c r="J41" i="15" s="1"/>
  <c r="M45" i="6" l="1"/>
  <c r="X207" i="2"/>
  <c r="M48" i="6"/>
  <c r="M47" i="6"/>
  <c r="P213" i="2"/>
  <c r="P211" i="2"/>
  <c r="P207" i="2"/>
  <c r="P206" i="2" s="1"/>
  <c r="P212" i="2"/>
  <c r="P210" i="2"/>
  <c r="AE7" i="16"/>
  <c r="AK7" i="16"/>
  <c r="AI7" i="16"/>
  <c r="AH7" i="16"/>
  <c r="M41" i="6"/>
  <c r="X206" i="2"/>
  <c r="M40" i="6"/>
  <c r="M38" i="6"/>
  <c r="G213" i="2"/>
  <c r="G212" i="2"/>
  <c r="G210" i="2"/>
  <c r="G209" i="2"/>
  <c r="G211" i="2"/>
  <c r="L43" i="14"/>
  <c r="L43" i="15" s="1"/>
  <c r="H43" i="14"/>
  <c r="H43" i="15" s="1"/>
  <c r="F43" i="14"/>
  <c r="F43" i="15" s="1"/>
  <c r="J42" i="14"/>
  <c r="J42" i="15" s="1"/>
  <c r="F7" i="16" l="1"/>
  <c r="H14" i="10"/>
  <c r="D7" i="16"/>
  <c r="F14" i="10"/>
  <c r="AJ7" i="16"/>
  <c r="E14" i="10"/>
  <c r="C7" i="16"/>
  <c r="J43" i="14"/>
  <c r="J43" i="15" s="1"/>
  <c r="G14" i="10" l="1"/>
  <c r="E7" i="16"/>
  <c r="F44" i="14"/>
  <c r="F44" i="15" s="1"/>
  <c r="B45" i="15" l="1"/>
</calcChain>
</file>

<file path=xl/sharedStrings.xml><?xml version="1.0" encoding="utf-8"?>
<sst xmlns="http://schemas.openxmlformats.org/spreadsheetml/2006/main" count="1447" uniqueCount="665">
  <si>
    <t>等価ヤング率</t>
    <rPh sb="0" eb="2">
      <t>トウカ</t>
    </rPh>
    <rPh sb="5" eb="6">
      <t>リツ</t>
    </rPh>
    <phoneticPr fontId="2"/>
  </si>
  <si>
    <t>等価密度</t>
    <rPh sb="0" eb="2">
      <t>トウカ</t>
    </rPh>
    <rPh sb="2" eb="4">
      <t>ミツド</t>
    </rPh>
    <phoneticPr fontId="2"/>
  </si>
  <si>
    <t>基本インピーダンスレベル</t>
    <rPh sb="0" eb="2">
      <t>キホン</t>
    </rPh>
    <phoneticPr fontId="2"/>
  </si>
  <si>
    <t>基本インピーダンス</t>
    <rPh sb="0" eb="2">
      <t>キホン</t>
    </rPh>
    <phoneticPr fontId="2"/>
  </si>
  <si>
    <t>mm</t>
    <phoneticPr fontId="2"/>
  </si>
  <si>
    <t>縦波伝搬速度</t>
    <rPh sb="0" eb="2">
      <t>タテナミ</t>
    </rPh>
    <rPh sb="2" eb="4">
      <t>デンパン</t>
    </rPh>
    <rPh sb="4" eb="6">
      <t>ソクド</t>
    </rPh>
    <phoneticPr fontId="2"/>
  </si>
  <si>
    <t>スラブ長辺方向</t>
    <rPh sb="3" eb="5">
      <t>チョウヘン</t>
    </rPh>
    <rPh sb="5" eb="7">
      <t>ホウコウ</t>
    </rPh>
    <phoneticPr fontId="2"/>
  </si>
  <si>
    <t>m</t>
    <phoneticPr fontId="2"/>
  </si>
  <si>
    <t>m</t>
    <phoneticPr fontId="2"/>
  </si>
  <si>
    <t>スラブ面積</t>
    <rPh sb="3" eb="5">
      <t>メンセキ</t>
    </rPh>
    <phoneticPr fontId="2"/>
  </si>
  <si>
    <t>共振によるインピーダンスレベル補正量</t>
    <rPh sb="0" eb="2">
      <t>キョウシン</t>
    </rPh>
    <rPh sb="15" eb="17">
      <t>ホセイ</t>
    </rPh>
    <rPh sb="17" eb="18">
      <t>リョウ</t>
    </rPh>
    <phoneticPr fontId="2"/>
  </si>
  <si>
    <t>Hz</t>
    <phoneticPr fontId="2"/>
  </si>
  <si>
    <t>63Hz</t>
    <phoneticPr fontId="2"/>
  </si>
  <si>
    <t>250Hz</t>
    <phoneticPr fontId="2"/>
  </si>
  <si>
    <t>500Hz</t>
    <phoneticPr fontId="2"/>
  </si>
  <si>
    <t>S1</t>
    <phoneticPr fontId="2"/>
  </si>
  <si>
    <t>m</t>
    <phoneticPr fontId="2"/>
  </si>
  <si>
    <t>10log(A)</t>
    <phoneticPr fontId="2"/>
  </si>
  <si>
    <t>等価厚さ</t>
    <rPh sb="0" eb="2">
      <t>トウカ</t>
    </rPh>
    <rPh sb="2" eb="3">
      <t>アツ</t>
    </rPh>
    <phoneticPr fontId="2"/>
  </si>
  <si>
    <t>密度</t>
    <rPh sb="0" eb="2">
      <t>ミツド</t>
    </rPh>
    <phoneticPr fontId="2"/>
  </si>
  <si>
    <t>ヤング率</t>
    <rPh sb="3" eb="4">
      <t>リツ</t>
    </rPh>
    <phoneticPr fontId="2"/>
  </si>
  <si>
    <t>密度（現場打ち）</t>
    <rPh sb="0" eb="2">
      <t>ミツド</t>
    </rPh>
    <rPh sb="3" eb="5">
      <t>ゲンバ</t>
    </rPh>
    <rPh sb="5" eb="6">
      <t>ウ</t>
    </rPh>
    <phoneticPr fontId="2"/>
  </si>
  <si>
    <t>ヤング率（現場打ち）</t>
    <rPh sb="3" eb="4">
      <t>リツ</t>
    </rPh>
    <rPh sb="5" eb="7">
      <t>ゲンバ</t>
    </rPh>
    <rPh sb="7" eb="8">
      <t>ウ</t>
    </rPh>
    <phoneticPr fontId="2"/>
  </si>
  <si>
    <t>スラブ厚さ</t>
    <rPh sb="3" eb="4">
      <t>アツ</t>
    </rPh>
    <phoneticPr fontId="2"/>
  </si>
  <si>
    <t>mm</t>
    <phoneticPr fontId="2"/>
  </si>
  <si>
    <t>hh</t>
    <phoneticPr fontId="2"/>
  </si>
  <si>
    <t>m</t>
    <phoneticPr fontId="2"/>
  </si>
  <si>
    <t>hh</t>
    <phoneticPr fontId="2"/>
  </si>
  <si>
    <t>m</t>
    <phoneticPr fontId="2"/>
  </si>
  <si>
    <t>判定</t>
    <rPh sb="0" eb="2">
      <t>ハンテイ</t>
    </rPh>
    <phoneticPr fontId="2"/>
  </si>
  <si>
    <t>①物件情報の入力</t>
    <rPh sb="1" eb="3">
      <t>ブッケン</t>
    </rPh>
    <rPh sb="3" eb="5">
      <t>ジョウホウ</t>
    </rPh>
    <rPh sb="6" eb="8">
      <t>ニュウリョク</t>
    </rPh>
    <phoneticPr fontId="2"/>
  </si>
  <si>
    <t>音源室</t>
    <rPh sb="0" eb="2">
      <t>オンゲン</t>
    </rPh>
    <rPh sb="2" eb="3">
      <t>シツ</t>
    </rPh>
    <phoneticPr fontId="2"/>
  </si>
  <si>
    <t>受音室</t>
    <rPh sb="0" eb="1">
      <t>ジュ</t>
    </rPh>
    <rPh sb="1" eb="2">
      <t>オン</t>
    </rPh>
    <rPh sb="2" eb="3">
      <t>シツ</t>
    </rPh>
    <phoneticPr fontId="2"/>
  </si>
  <si>
    <t>②床スラブ条件の入力</t>
    <rPh sb="1" eb="2">
      <t>ユカ</t>
    </rPh>
    <rPh sb="5" eb="7">
      <t>ジョウケン</t>
    </rPh>
    <rPh sb="8" eb="10">
      <t>ニュウリョク</t>
    </rPh>
    <phoneticPr fontId="2"/>
  </si>
  <si>
    <t>選択された床スラブ断面構造</t>
    <rPh sb="0" eb="2">
      <t>センタク</t>
    </rPh>
    <rPh sb="5" eb="6">
      <t>ユカ</t>
    </rPh>
    <rPh sb="9" eb="11">
      <t>ダンメン</t>
    </rPh>
    <rPh sb="11" eb="13">
      <t>コウゾウ</t>
    </rPh>
    <phoneticPr fontId="2"/>
  </si>
  <si>
    <t>③スラブ寸法の入力</t>
    <rPh sb="4" eb="6">
      <t>スンポウ</t>
    </rPh>
    <rPh sb="7" eb="9">
      <t>ニュウリョク</t>
    </rPh>
    <phoneticPr fontId="2"/>
  </si>
  <si>
    <t>S5</t>
  </si>
  <si>
    <t>梁からの距離</t>
    <rPh sb="0" eb="1">
      <t>ハリ</t>
    </rPh>
    <rPh sb="4" eb="6">
      <t>キョリ</t>
    </rPh>
    <phoneticPr fontId="2"/>
  </si>
  <si>
    <t>⇒</t>
    <phoneticPr fontId="2"/>
  </si>
  <si>
    <r>
      <t>Y</t>
    </r>
    <r>
      <rPr>
        <sz val="11"/>
        <rFont val="ＭＳ Ｐゴシック"/>
        <family val="3"/>
        <charset val="128"/>
      </rPr>
      <t>方向</t>
    </r>
    <rPh sb="1" eb="3">
      <t>ホウコウ</t>
    </rPh>
    <phoneticPr fontId="2"/>
  </si>
  <si>
    <t>S2</t>
    <phoneticPr fontId="2"/>
  </si>
  <si>
    <t>S3</t>
    <phoneticPr fontId="2"/>
  </si>
  <si>
    <t>S4</t>
    <phoneticPr fontId="2"/>
  </si>
  <si>
    <t>S5</t>
    <phoneticPr fontId="2"/>
  </si>
  <si>
    <t>受音室の種類</t>
    <rPh sb="0" eb="1">
      <t>ジュ</t>
    </rPh>
    <rPh sb="1" eb="2">
      <t>オン</t>
    </rPh>
    <rPh sb="2" eb="3">
      <t>シツ</t>
    </rPh>
    <rPh sb="4" eb="6">
      <t>シュルイ</t>
    </rPh>
    <phoneticPr fontId="2"/>
  </si>
  <si>
    <t>受音室床面積</t>
    <rPh sb="0" eb="1">
      <t>ジュ</t>
    </rPh>
    <rPh sb="1" eb="2">
      <t>オン</t>
    </rPh>
    <rPh sb="2" eb="3">
      <t>シツ</t>
    </rPh>
    <rPh sb="3" eb="6">
      <t>ユカメンセキ</t>
    </rPh>
    <phoneticPr fontId="2"/>
  </si>
  <si>
    <t>受音室周長</t>
    <rPh sb="0" eb="1">
      <t>ジュ</t>
    </rPh>
    <rPh sb="1" eb="2">
      <t>オン</t>
    </rPh>
    <rPh sb="2" eb="3">
      <t>シツ</t>
    </rPh>
    <rPh sb="3" eb="4">
      <t>シュウ</t>
    </rPh>
    <rPh sb="4" eb="5">
      <t>チョウ</t>
    </rPh>
    <phoneticPr fontId="2"/>
  </si>
  <si>
    <t>受音室天井高</t>
    <rPh sb="0" eb="1">
      <t>ジュ</t>
    </rPh>
    <rPh sb="1" eb="2">
      <t>オン</t>
    </rPh>
    <rPh sb="2" eb="3">
      <t>シツ</t>
    </rPh>
    <rPh sb="3" eb="5">
      <t>テンジョウ</t>
    </rPh>
    <rPh sb="5" eb="6">
      <t>タカ</t>
    </rPh>
    <phoneticPr fontId="2"/>
  </si>
  <si>
    <r>
      <t>1)</t>
    </r>
    <r>
      <rPr>
        <sz val="11"/>
        <rFont val="ＭＳ Ｐゴシック"/>
        <family val="3"/>
        <charset val="128"/>
      </rPr>
      <t>スラブ断面構造種別の入力</t>
    </r>
    <rPh sb="5" eb="7">
      <t>ダンメン</t>
    </rPh>
    <rPh sb="7" eb="9">
      <t>コウゾウ</t>
    </rPh>
    <rPh sb="9" eb="11">
      <t>シュベツ</t>
    </rPh>
    <rPh sb="12" eb="14">
      <t>ニュウリョク</t>
    </rPh>
    <phoneticPr fontId="2"/>
  </si>
  <si>
    <r>
      <t>2)</t>
    </r>
    <r>
      <rPr>
        <sz val="11"/>
        <rFont val="ＭＳ Ｐゴシック"/>
        <family val="3"/>
        <charset val="128"/>
      </rPr>
      <t>断面寸法値の入力</t>
    </r>
    <rPh sb="2" eb="4">
      <t>ダンメン</t>
    </rPh>
    <rPh sb="4" eb="6">
      <t>スンポウ</t>
    </rPh>
    <rPh sb="6" eb="7">
      <t>チ</t>
    </rPh>
    <rPh sb="8" eb="10">
      <t>ニュウリョク</t>
    </rPh>
    <phoneticPr fontId="2"/>
  </si>
  <si>
    <t>63Hz</t>
    <phoneticPr fontId="2"/>
  </si>
  <si>
    <t>125Hz</t>
    <phoneticPr fontId="2"/>
  </si>
  <si>
    <t>250Hz</t>
    <phoneticPr fontId="2"/>
  </si>
  <si>
    <t>500Hz</t>
    <phoneticPr fontId="2"/>
  </si>
  <si>
    <t>スラブ短辺方向</t>
    <rPh sb="3" eb="4">
      <t>タン</t>
    </rPh>
    <rPh sb="4" eb="5">
      <t>ヘン</t>
    </rPh>
    <rPh sb="5" eb="7">
      <t>ホウコウ</t>
    </rPh>
    <phoneticPr fontId="2"/>
  </si>
  <si>
    <t>kg/s</t>
  </si>
  <si>
    <t>dB</t>
  </si>
  <si>
    <t>hh</t>
    <phoneticPr fontId="2"/>
  </si>
  <si>
    <t>m</t>
    <phoneticPr fontId="2"/>
  </si>
  <si>
    <t>A1</t>
    <phoneticPr fontId="2"/>
  </si>
  <si>
    <t>Y</t>
    <phoneticPr fontId="2"/>
  </si>
  <si>
    <t>BB</t>
    <phoneticPr fontId="2"/>
  </si>
  <si>
    <t>m</t>
    <phoneticPr fontId="2"/>
  </si>
  <si>
    <t>hs</t>
    <phoneticPr fontId="2"/>
  </si>
  <si>
    <t>i1</t>
    <phoneticPr fontId="2"/>
  </si>
  <si>
    <t>B</t>
    <phoneticPr fontId="2"/>
  </si>
  <si>
    <t>Sx</t>
    <phoneticPr fontId="2"/>
  </si>
  <si>
    <t>d</t>
    <phoneticPr fontId="2"/>
  </si>
  <si>
    <t>Y</t>
    <phoneticPr fontId="2"/>
  </si>
  <si>
    <t>hB</t>
    <phoneticPr fontId="2"/>
  </si>
  <si>
    <t>A1</t>
    <phoneticPr fontId="2"/>
  </si>
  <si>
    <t>i1</t>
    <phoneticPr fontId="2"/>
  </si>
  <si>
    <t>h</t>
    <phoneticPr fontId="2"/>
  </si>
  <si>
    <t>A2</t>
    <phoneticPr fontId="2"/>
  </si>
  <si>
    <t>Y</t>
    <phoneticPr fontId="2"/>
  </si>
  <si>
    <t>i1</t>
    <phoneticPr fontId="2"/>
  </si>
  <si>
    <t>h</t>
    <phoneticPr fontId="2"/>
  </si>
  <si>
    <t>ix</t>
    <phoneticPr fontId="2"/>
  </si>
  <si>
    <t>i2</t>
    <phoneticPr fontId="2"/>
  </si>
  <si>
    <t>A</t>
    <phoneticPr fontId="2"/>
  </si>
  <si>
    <t>i2</t>
    <phoneticPr fontId="2"/>
  </si>
  <si>
    <t>ix</t>
    <phoneticPr fontId="2"/>
  </si>
  <si>
    <t>⇒</t>
    <phoneticPr fontId="2"/>
  </si>
  <si>
    <t>m/s</t>
    <phoneticPr fontId="2"/>
  </si>
  <si>
    <t>インピーダンス補正量</t>
    <rPh sb="7" eb="9">
      <t>ホセイ</t>
    </rPh>
    <rPh sb="9" eb="10">
      <t>リョウ</t>
    </rPh>
    <phoneticPr fontId="2"/>
  </si>
  <si>
    <t>⇒</t>
    <phoneticPr fontId="2"/>
  </si>
  <si>
    <t>コインシデンス限界周波数</t>
    <rPh sb="7" eb="9">
      <t>ゲンカイ</t>
    </rPh>
    <rPh sb="9" eb="12">
      <t>シュウハスウ</t>
    </rPh>
    <phoneticPr fontId="2"/>
  </si>
  <si>
    <t>等価スラブ厚さ</t>
    <rPh sb="0" eb="2">
      <t>トウカ</t>
    </rPh>
    <rPh sb="5" eb="6">
      <t>アツ</t>
    </rPh>
    <phoneticPr fontId="2"/>
  </si>
  <si>
    <t>「建物の遮音設計資料」</t>
    <rPh sb="1" eb="3">
      <t>タテモノ</t>
    </rPh>
    <rPh sb="4" eb="6">
      <t>シャオン</t>
    </rPh>
    <rPh sb="6" eb="8">
      <t>セッケイ</t>
    </rPh>
    <rPh sb="8" eb="10">
      <t>シリョウ</t>
    </rPh>
    <phoneticPr fontId="2"/>
  </si>
  <si>
    <t>重量衝撃源（バングマシン）</t>
    <rPh sb="0" eb="2">
      <t>ジュウリョウ</t>
    </rPh>
    <rPh sb="2" eb="4">
      <t>ショウゲキ</t>
    </rPh>
    <rPh sb="4" eb="5">
      <t>ゲン</t>
    </rPh>
    <phoneticPr fontId="2"/>
  </si>
  <si>
    <t>軽量衝撃源（タッピングマシン）</t>
    <rPh sb="0" eb="2">
      <t>ケイリョウ</t>
    </rPh>
    <rPh sb="2" eb="4">
      <t>ショウゲキ</t>
    </rPh>
    <rPh sb="4" eb="5">
      <t>ゲン</t>
    </rPh>
    <phoneticPr fontId="2"/>
  </si>
  <si>
    <t>床スラブ断面構造：</t>
    <rPh sb="0" eb="1">
      <t>ユカ</t>
    </rPh>
    <rPh sb="4" eb="6">
      <t>ダンメン</t>
    </rPh>
    <rPh sb="6" eb="8">
      <t>コウゾウ</t>
    </rPh>
    <phoneticPr fontId="2"/>
  </si>
  <si>
    <t>床スラブ厚さ：</t>
    <rPh sb="0" eb="1">
      <t>ユカ</t>
    </rPh>
    <rPh sb="4" eb="5">
      <t>アツ</t>
    </rPh>
    <phoneticPr fontId="2"/>
  </si>
  <si>
    <t>床スラブ厚さ</t>
    <rPh sb="0" eb="1">
      <t>ユカ</t>
    </rPh>
    <rPh sb="4" eb="5">
      <t>アツ</t>
    </rPh>
    <phoneticPr fontId="2"/>
  </si>
  <si>
    <t>床スラブ寸法：</t>
    <rPh sb="0" eb="1">
      <t>ユカ</t>
    </rPh>
    <rPh sb="4" eb="6">
      <t>スンポウ</t>
    </rPh>
    <phoneticPr fontId="2"/>
  </si>
  <si>
    <t>mm</t>
    <phoneticPr fontId="2"/>
  </si>
  <si>
    <t>スラブ面積：</t>
    <rPh sb="3" eb="5">
      <t>メンセキ</t>
    </rPh>
    <phoneticPr fontId="2"/>
  </si>
  <si>
    <t>（等価スラブ厚さ）：</t>
    <rPh sb="1" eb="3">
      <t>トウカ</t>
    </rPh>
    <rPh sb="6" eb="7">
      <t>アツ</t>
    </rPh>
    <phoneticPr fontId="2"/>
  </si>
  <si>
    <t>受音室床面積：</t>
    <rPh sb="0" eb="1">
      <t>ジュ</t>
    </rPh>
    <rPh sb="1" eb="2">
      <t>オン</t>
    </rPh>
    <rPh sb="2" eb="3">
      <t>シツ</t>
    </rPh>
    <rPh sb="3" eb="6">
      <t>ユカメンセキ</t>
    </rPh>
    <phoneticPr fontId="2"/>
  </si>
  <si>
    <t>受音室表面積：</t>
    <rPh sb="0" eb="1">
      <t>ジュ</t>
    </rPh>
    <rPh sb="1" eb="2">
      <t>オン</t>
    </rPh>
    <rPh sb="2" eb="3">
      <t>シツ</t>
    </rPh>
    <rPh sb="3" eb="6">
      <t>ヒョウメンセキ</t>
    </rPh>
    <phoneticPr fontId="2"/>
  </si>
  <si>
    <t>受音室天井高：</t>
    <rPh sb="0" eb="1">
      <t>ジュ</t>
    </rPh>
    <rPh sb="1" eb="2">
      <t>オン</t>
    </rPh>
    <rPh sb="2" eb="3">
      <t>シツ</t>
    </rPh>
    <rPh sb="3" eb="5">
      <t>テンジョウ</t>
    </rPh>
    <rPh sb="5" eb="6">
      <t>タカ</t>
    </rPh>
    <phoneticPr fontId="2"/>
  </si>
  <si>
    <t>受音室種類：</t>
    <rPh sb="0" eb="1">
      <t>ジュ</t>
    </rPh>
    <rPh sb="1" eb="2">
      <t>オン</t>
    </rPh>
    <rPh sb="2" eb="3">
      <t>シツ</t>
    </rPh>
    <rPh sb="3" eb="5">
      <t>シュルイ</t>
    </rPh>
    <phoneticPr fontId="2"/>
  </si>
  <si>
    <t>受音室平均吸音率</t>
    <rPh sb="0" eb="1">
      <t>ジュ</t>
    </rPh>
    <rPh sb="1" eb="2">
      <t>オン</t>
    </rPh>
    <rPh sb="2" eb="3">
      <t>シツ</t>
    </rPh>
    <rPh sb="3" eb="5">
      <t>ヘイキン</t>
    </rPh>
    <rPh sb="5" eb="7">
      <t>キュウオン</t>
    </rPh>
    <rPh sb="7" eb="8">
      <t>リツ</t>
    </rPh>
    <phoneticPr fontId="2"/>
  </si>
  <si>
    <t>床衝撃音レベルの算出</t>
    <rPh sb="0" eb="1">
      <t>ユカ</t>
    </rPh>
    <rPh sb="1" eb="3">
      <t>ショウゲキ</t>
    </rPh>
    <rPh sb="3" eb="4">
      <t>オン</t>
    </rPh>
    <rPh sb="8" eb="10">
      <t>サンシュツ</t>
    </rPh>
    <phoneticPr fontId="2"/>
  </si>
  <si>
    <t>L値</t>
    <rPh sb="1" eb="2">
      <t>チ</t>
    </rPh>
    <phoneticPr fontId="2"/>
  </si>
  <si>
    <t>重量</t>
    <rPh sb="0" eb="2">
      <t>ジュウリョウ</t>
    </rPh>
    <phoneticPr fontId="2"/>
  </si>
  <si>
    <t>L1</t>
    <phoneticPr fontId="2"/>
  </si>
  <si>
    <t>L2</t>
    <phoneticPr fontId="2"/>
  </si>
  <si>
    <t>L値の算出</t>
    <rPh sb="1" eb="2">
      <t>ネ</t>
    </rPh>
    <rPh sb="3" eb="5">
      <t>サンシュツ</t>
    </rPh>
    <phoneticPr fontId="2"/>
  </si>
  <si>
    <t>重量床衝撃音</t>
    <rPh sb="0" eb="2">
      <t>ジュウリョウ</t>
    </rPh>
    <rPh sb="2" eb="3">
      <t>ユカ</t>
    </rPh>
    <rPh sb="3" eb="5">
      <t>ショウゲキ</t>
    </rPh>
    <rPh sb="5" eb="6">
      <t>オン</t>
    </rPh>
    <phoneticPr fontId="2"/>
  </si>
  <si>
    <t>軽量床衝撃音</t>
    <rPh sb="0" eb="2">
      <t>ケイリョウ</t>
    </rPh>
    <rPh sb="2" eb="3">
      <t>ユカ</t>
    </rPh>
    <rPh sb="3" eb="5">
      <t>ショウゲキ</t>
    </rPh>
    <rPh sb="5" eb="6">
      <t>オン</t>
    </rPh>
    <phoneticPr fontId="2"/>
  </si>
  <si>
    <t>S1</t>
    <phoneticPr fontId="2"/>
  </si>
  <si>
    <t>S2</t>
    <phoneticPr fontId="2"/>
  </si>
  <si>
    <t>S4</t>
    <phoneticPr fontId="2"/>
  </si>
  <si>
    <t>S5</t>
    <phoneticPr fontId="2"/>
  </si>
  <si>
    <t>10log(Seff)</t>
    <phoneticPr fontId="2"/>
  </si>
  <si>
    <t>10log(A)</t>
    <phoneticPr fontId="2"/>
  </si>
  <si>
    <t>S1</t>
    <phoneticPr fontId="2"/>
  </si>
  <si>
    <t>S4</t>
    <phoneticPr fontId="2"/>
  </si>
  <si>
    <t>125Hz</t>
    <phoneticPr fontId="2"/>
  </si>
  <si>
    <t>250Hz</t>
    <phoneticPr fontId="2"/>
  </si>
  <si>
    <t>500Hz</t>
    <phoneticPr fontId="2"/>
  </si>
  <si>
    <t>1kHz</t>
    <phoneticPr fontId="2"/>
  </si>
  <si>
    <t>2kHz</t>
    <phoneticPr fontId="2"/>
  </si>
  <si>
    <t>2kHz</t>
    <phoneticPr fontId="2"/>
  </si>
  <si>
    <t>fc</t>
    <phoneticPr fontId="2"/>
  </si>
  <si>
    <t>Hz</t>
    <phoneticPr fontId="2"/>
  </si>
  <si>
    <t>63Hz</t>
    <phoneticPr fontId="2"/>
  </si>
  <si>
    <t>125Hz</t>
    <phoneticPr fontId="2"/>
  </si>
  <si>
    <t>250Hz</t>
    <phoneticPr fontId="2"/>
  </si>
  <si>
    <t>500Hz</t>
    <phoneticPr fontId="2"/>
  </si>
  <si>
    <t>1000Hz</t>
    <phoneticPr fontId="2"/>
  </si>
  <si>
    <t>2000Hz</t>
    <phoneticPr fontId="2"/>
  </si>
  <si>
    <t>63Hz</t>
    <phoneticPr fontId="2"/>
  </si>
  <si>
    <t>125Hz</t>
    <phoneticPr fontId="2"/>
  </si>
  <si>
    <t>250Hz</t>
    <phoneticPr fontId="2"/>
  </si>
  <si>
    <t>500Hz</t>
    <phoneticPr fontId="2"/>
  </si>
  <si>
    <t>1kHz</t>
    <phoneticPr fontId="2"/>
  </si>
  <si>
    <t>2kHz</t>
    <phoneticPr fontId="2"/>
  </si>
  <si>
    <t>10log(T60)</t>
    <phoneticPr fontId="2"/>
  </si>
  <si>
    <t>10log(h)</t>
    <phoneticPr fontId="2"/>
  </si>
  <si>
    <r>
      <t>1)</t>
    </r>
    <r>
      <rPr>
        <sz val="8"/>
        <rFont val="ＭＳ Ｐゴシック"/>
        <family val="3"/>
        <charset val="128"/>
      </rPr>
      <t>均質単板スラブの場合（計算の必要なし）</t>
    </r>
    <rPh sb="2" eb="4">
      <t>キンシツ</t>
    </rPh>
    <rPh sb="4" eb="5">
      <t>タン</t>
    </rPh>
    <rPh sb="5" eb="6">
      <t>イタ</t>
    </rPh>
    <rPh sb="10" eb="12">
      <t>バアイ</t>
    </rPh>
    <rPh sb="13" eb="15">
      <t>ケイサン</t>
    </rPh>
    <rPh sb="16" eb="18">
      <t>ヒツヨウ</t>
    </rPh>
    <phoneticPr fontId="2"/>
  </si>
  <si>
    <r>
      <t>kg/m</t>
    </r>
    <r>
      <rPr>
        <vertAlign val="superscript"/>
        <sz val="8"/>
        <color indexed="8"/>
        <rFont val="Arial"/>
        <family val="2"/>
      </rPr>
      <t>3</t>
    </r>
    <phoneticPr fontId="2"/>
  </si>
  <si>
    <r>
      <t>N/m</t>
    </r>
    <r>
      <rPr>
        <vertAlign val="superscript"/>
        <sz val="8"/>
        <color indexed="8"/>
        <rFont val="Arial"/>
        <family val="2"/>
      </rPr>
      <t>2</t>
    </r>
    <phoneticPr fontId="2"/>
  </si>
  <si>
    <r>
      <t>2)</t>
    </r>
    <r>
      <rPr>
        <sz val="8"/>
        <rFont val="ＭＳ Ｐゴシック"/>
        <family val="3"/>
        <charset val="128"/>
      </rPr>
      <t>矩形中空合成床板の場合</t>
    </r>
    <rPh sb="2" eb="4">
      <t>クケイ</t>
    </rPh>
    <rPh sb="4" eb="6">
      <t>チュウクウ</t>
    </rPh>
    <rPh sb="6" eb="8">
      <t>ゴウセイ</t>
    </rPh>
    <rPh sb="8" eb="10">
      <t>ユカイタ</t>
    </rPh>
    <rPh sb="11" eb="13">
      <t>バアイ</t>
    </rPh>
    <phoneticPr fontId="2"/>
  </si>
  <si>
    <r>
      <t>※</t>
    </r>
    <r>
      <rPr>
        <sz val="8"/>
        <color indexed="10"/>
        <rFont val="Arial"/>
        <family val="2"/>
      </rPr>
      <t>1</t>
    </r>
    <phoneticPr fontId="2"/>
  </si>
  <si>
    <t>hB</t>
    <phoneticPr fontId="2"/>
  </si>
  <si>
    <t>A2</t>
    <phoneticPr fontId="2"/>
  </si>
  <si>
    <t>ix</t>
    <phoneticPr fontId="2"/>
  </si>
  <si>
    <r>
      <t>※</t>
    </r>
    <r>
      <rPr>
        <sz val="8"/>
        <color indexed="10"/>
        <rFont val="Arial"/>
        <family val="2"/>
      </rPr>
      <t>2</t>
    </r>
    <phoneticPr fontId="2"/>
  </si>
  <si>
    <t>h</t>
    <phoneticPr fontId="2"/>
  </si>
  <si>
    <t>A</t>
    <phoneticPr fontId="2"/>
  </si>
  <si>
    <t>i2</t>
    <phoneticPr fontId="2"/>
  </si>
  <si>
    <r>
      <t>kg/m</t>
    </r>
    <r>
      <rPr>
        <vertAlign val="superscript"/>
        <sz val="8"/>
        <color indexed="8"/>
        <rFont val="Arial"/>
        <family val="2"/>
      </rPr>
      <t>3</t>
    </r>
    <phoneticPr fontId="2"/>
  </si>
  <si>
    <r>
      <t>※</t>
    </r>
    <r>
      <rPr>
        <sz val="8"/>
        <rFont val="Arial"/>
        <family val="2"/>
      </rPr>
      <t>1:BB+B+BB&gt;1000mm</t>
    </r>
    <r>
      <rPr>
        <sz val="8"/>
        <rFont val="ＭＳ Ｐゴシック"/>
        <family val="3"/>
        <charset val="128"/>
      </rPr>
      <t>のスラブは対象外</t>
    </r>
    <rPh sb="22" eb="25">
      <t>タイショウガイ</t>
    </rPh>
    <phoneticPr fontId="2"/>
  </si>
  <si>
    <r>
      <t>密度（</t>
    </r>
    <r>
      <rPr>
        <sz val="8"/>
        <color indexed="8"/>
        <rFont val="Arial"/>
        <family val="2"/>
      </rPr>
      <t>PCa</t>
    </r>
    <r>
      <rPr>
        <sz val="8"/>
        <color indexed="8"/>
        <rFont val="ＭＳ Ｐゴシック"/>
        <family val="3"/>
        <charset val="128"/>
      </rPr>
      <t>）</t>
    </r>
    <rPh sb="0" eb="2">
      <t>ミツド</t>
    </rPh>
    <phoneticPr fontId="2"/>
  </si>
  <si>
    <r>
      <t>※</t>
    </r>
    <r>
      <rPr>
        <sz val="8"/>
        <rFont val="Arial"/>
        <family val="2"/>
      </rPr>
      <t>2:3×B+2×BB&lt;1000mm</t>
    </r>
    <r>
      <rPr>
        <sz val="8"/>
        <rFont val="ＭＳ Ｐゴシック"/>
        <family val="3"/>
        <charset val="128"/>
      </rPr>
      <t>のスラブは対象外</t>
    </r>
    <rPh sb="23" eb="26">
      <t>タイショウガイ</t>
    </rPh>
    <phoneticPr fontId="2"/>
  </si>
  <si>
    <t>mm</t>
    <phoneticPr fontId="2"/>
  </si>
  <si>
    <r>
      <t>ヤング率（</t>
    </r>
    <r>
      <rPr>
        <sz val="8"/>
        <color indexed="8"/>
        <rFont val="Arial"/>
        <family val="2"/>
      </rPr>
      <t>PCa</t>
    </r>
    <r>
      <rPr>
        <sz val="8"/>
        <color indexed="8"/>
        <rFont val="ＭＳ Ｐゴシック"/>
        <family val="3"/>
        <charset val="128"/>
      </rPr>
      <t>）</t>
    </r>
    <rPh sb="3" eb="4">
      <t>リツ</t>
    </rPh>
    <phoneticPr fontId="2"/>
  </si>
  <si>
    <r>
      <t>N/m</t>
    </r>
    <r>
      <rPr>
        <vertAlign val="superscript"/>
        <sz val="8"/>
        <rFont val="Arial"/>
        <family val="2"/>
      </rPr>
      <t>2</t>
    </r>
    <phoneticPr fontId="2"/>
  </si>
  <si>
    <r>
      <t>kg/m</t>
    </r>
    <r>
      <rPr>
        <vertAlign val="superscript"/>
        <sz val="8"/>
        <rFont val="Arial"/>
        <family val="2"/>
      </rPr>
      <t>3</t>
    </r>
    <phoneticPr fontId="2"/>
  </si>
  <si>
    <r>
      <t>3)</t>
    </r>
    <r>
      <rPr>
        <sz val="8"/>
        <rFont val="ＭＳ Ｐゴシック"/>
        <family val="3"/>
        <charset val="128"/>
      </rPr>
      <t>円形中空合成床板の場合</t>
    </r>
    <rPh sb="2" eb="4">
      <t>エンケイ</t>
    </rPh>
    <rPh sb="4" eb="6">
      <t>チュウクウ</t>
    </rPh>
    <rPh sb="6" eb="8">
      <t>ゴウセイ</t>
    </rPh>
    <rPh sb="8" eb="10">
      <t>ユカイタ</t>
    </rPh>
    <rPh sb="11" eb="13">
      <t>バアイ</t>
    </rPh>
    <phoneticPr fontId="2"/>
  </si>
  <si>
    <r>
      <t>※</t>
    </r>
    <r>
      <rPr>
        <sz val="8"/>
        <color indexed="10"/>
        <rFont val="Arial"/>
        <family val="2"/>
      </rPr>
      <t>1</t>
    </r>
    <phoneticPr fontId="2"/>
  </si>
  <si>
    <t>h</t>
    <phoneticPr fontId="2"/>
  </si>
  <si>
    <t>A2</t>
    <phoneticPr fontId="2"/>
  </si>
  <si>
    <r>
      <t>※</t>
    </r>
    <r>
      <rPr>
        <sz val="8"/>
        <color indexed="8"/>
        <rFont val="Arial"/>
        <family val="2"/>
      </rPr>
      <t>1:hB&gt;h</t>
    </r>
    <r>
      <rPr>
        <sz val="8"/>
        <color indexed="8"/>
        <rFont val="ＭＳ Ｐゴシック"/>
        <family val="3"/>
        <charset val="128"/>
      </rPr>
      <t>あるいは</t>
    </r>
    <r>
      <rPr>
        <sz val="8"/>
        <color indexed="8"/>
        <rFont val="Arial"/>
        <family val="2"/>
      </rPr>
      <t>BB+B&gt;1000mm</t>
    </r>
    <r>
      <rPr>
        <sz val="8"/>
        <color indexed="8"/>
        <rFont val="ＭＳ Ｐゴシック"/>
        <family val="3"/>
        <charset val="128"/>
      </rPr>
      <t>のスラブは対象外</t>
    </r>
    <rPh sb="27" eb="30">
      <t>タイショウガイ</t>
    </rPh>
    <phoneticPr fontId="2"/>
  </si>
  <si>
    <r>
      <t>4)</t>
    </r>
    <r>
      <rPr>
        <sz val="8"/>
        <rFont val="ＭＳ Ｐゴシック"/>
        <family val="3"/>
        <charset val="128"/>
      </rPr>
      <t>合成床板の場合</t>
    </r>
    <rPh sb="2" eb="4">
      <t>ゴウセイ</t>
    </rPh>
    <rPh sb="4" eb="6">
      <t>ユカイタ</t>
    </rPh>
    <rPh sb="7" eb="9">
      <t>バアイ</t>
    </rPh>
    <phoneticPr fontId="2"/>
  </si>
  <si>
    <r>
      <t>5)</t>
    </r>
    <r>
      <rPr>
        <sz val="8"/>
        <rFont val="ＭＳ Ｐゴシック"/>
        <family val="3"/>
        <charset val="128"/>
      </rPr>
      <t>円形中空床板の場合</t>
    </r>
    <rPh sb="2" eb="4">
      <t>エンケイ</t>
    </rPh>
    <rPh sb="4" eb="6">
      <t>チュウクウ</t>
    </rPh>
    <rPh sb="6" eb="8">
      <t>ユカイタ</t>
    </rPh>
    <rPh sb="9" eb="11">
      <t>バアイ</t>
    </rPh>
    <phoneticPr fontId="2"/>
  </si>
  <si>
    <r>
      <t>B=hB</t>
    </r>
    <r>
      <rPr>
        <sz val="8"/>
        <color indexed="10"/>
        <rFont val="ＭＳ Ｐゴシック"/>
        <family val="3"/>
        <charset val="128"/>
      </rPr>
      <t>のみ</t>
    </r>
    <r>
      <rPr>
        <sz val="8"/>
        <color indexed="10"/>
        <rFont val="Arial"/>
        <family val="2"/>
      </rPr>
      <t>OK</t>
    </r>
    <phoneticPr fontId="2"/>
  </si>
  <si>
    <r>
      <t>1)</t>
    </r>
    <r>
      <rPr>
        <sz val="8"/>
        <rFont val="ＭＳ Ｐゴシック"/>
        <family val="3"/>
        <charset val="128"/>
      </rPr>
      <t>縦波伝搬速度の算出　</t>
    </r>
    <r>
      <rPr>
        <sz val="8"/>
        <rFont val="Arial"/>
        <family val="2"/>
      </rPr>
      <t>=sqrt(E/ρ)</t>
    </r>
    <rPh sb="2" eb="4">
      <t>タテナミ</t>
    </rPh>
    <rPh sb="4" eb="6">
      <t>デンパン</t>
    </rPh>
    <rPh sb="6" eb="8">
      <t>ソクド</t>
    </rPh>
    <rPh sb="9" eb="11">
      <t>サンシュツ</t>
    </rPh>
    <phoneticPr fontId="2"/>
  </si>
  <si>
    <r>
      <t>2)</t>
    </r>
    <r>
      <rPr>
        <sz val="8"/>
        <rFont val="ＭＳ Ｐゴシック"/>
        <family val="3"/>
        <charset val="128"/>
      </rPr>
      <t>曲げ波の波長の算出</t>
    </r>
    <rPh sb="2" eb="3">
      <t>マ</t>
    </rPh>
    <rPh sb="4" eb="5">
      <t>ナミ</t>
    </rPh>
    <rPh sb="6" eb="8">
      <t>ハチョウ</t>
    </rPh>
    <rPh sb="9" eb="11">
      <t>サンシュツ</t>
    </rPh>
    <phoneticPr fontId="2"/>
  </si>
  <si>
    <r>
      <t>中心周波数（</t>
    </r>
    <r>
      <rPr>
        <sz val="8"/>
        <rFont val="Arial"/>
        <family val="2"/>
      </rPr>
      <t>Hz</t>
    </r>
    <r>
      <rPr>
        <sz val="8"/>
        <rFont val="ＭＳ Ｐゴシック"/>
        <family val="3"/>
        <charset val="128"/>
      </rPr>
      <t>）</t>
    </r>
    <rPh sb="0" eb="2">
      <t>チュウシン</t>
    </rPh>
    <rPh sb="2" eb="5">
      <t>シュウハスウ</t>
    </rPh>
    <phoneticPr fontId="2"/>
  </si>
  <si>
    <r>
      <t>曲げ波の波長（</t>
    </r>
    <r>
      <rPr>
        <sz val="8"/>
        <rFont val="Arial"/>
        <family val="2"/>
      </rPr>
      <t>m</t>
    </r>
    <r>
      <rPr>
        <sz val="8"/>
        <rFont val="ＭＳ Ｐゴシック"/>
        <family val="3"/>
        <charset val="128"/>
      </rPr>
      <t>）</t>
    </r>
    <rPh sb="0" eb="1">
      <t>マ</t>
    </rPh>
    <rPh sb="2" eb="3">
      <t>ナミ</t>
    </rPh>
    <rPh sb="4" eb="6">
      <t>ハチョウ</t>
    </rPh>
    <phoneticPr fontId="2"/>
  </si>
  <si>
    <r>
      <t>1)</t>
    </r>
    <r>
      <rPr>
        <sz val="8"/>
        <rFont val="ＭＳ Ｐゴシック"/>
        <family val="3"/>
        <charset val="128"/>
      </rPr>
      <t>スラブ面積による補正量選択</t>
    </r>
    <rPh sb="5" eb="7">
      <t>メンセキ</t>
    </rPh>
    <rPh sb="10" eb="12">
      <t>ホセイ</t>
    </rPh>
    <rPh sb="12" eb="13">
      <t>リョウ</t>
    </rPh>
    <rPh sb="13" eb="15">
      <t>センタク</t>
    </rPh>
    <phoneticPr fontId="2"/>
  </si>
  <si>
    <r>
      <t>m</t>
    </r>
    <r>
      <rPr>
        <vertAlign val="superscript"/>
        <sz val="8"/>
        <color indexed="8"/>
        <rFont val="Arial"/>
        <family val="2"/>
      </rPr>
      <t>2</t>
    </r>
    <phoneticPr fontId="2"/>
  </si>
  <si>
    <r>
      <t>2)1</t>
    </r>
    <r>
      <rPr>
        <sz val="8"/>
        <rFont val="ＭＳ Ｐゴシック"/>
        <family val="3"/>
        <charset val="128"/>
      </rPr>
      <t>次固有振動数の算出</t>
    </r>
    <rPh sb="3" eb="4">
      <t>ジ</t>
    </rPh>
    <rPh sb="4" eb="6">
      <t>コユウ</t>
    </rPh>
    <rPh sb="6" eb="9">
      <t>シンドウスウ</t>
    </rPh>
    <rPh sb="10" eb="12">
      <t>サンシュツ</t>
    </rPh>
    <phoneticPr fontId="2"/>
  </si>
  <si>
    <r>
      <t>1</t>
    </r>
    <r>
      <rPr>
        <sz val="8"/>
        <rFont val="ＭＳ Ｐゴシック"/>
        <family val="3"/>
        <charset val="128"/>
      </rPr>
      <t>次固有振動数</t>
    </r>
    <r>
      <rPr>
        <sz val="8"/>
        <rFont val="Arial"/>
        <family val="2"/>
      </rPr>
      <t xml:space="preserve"> f</t>
    </r>
    <r>
      <rPr>
        <vertAlign val="subscript"/>
        <sz val="8"/>
        <rFont val="Arial"/>
        <family val="2"/>
      </rPr>
      <t>0</t>
    </r>
    <rPh sb="1" eb="2">
      <t>ジ</t>
    </rPh>
    <rPh sb="2" eb="4">
      <t>コユウ</t>
    </rPh>
    <rPh sb="4" eb="7">
      <t>シンドウスウ</t>
    </rPh>
    <phoneticPr fontId="2"/>
  </si>
  <si>
    <t>Hz</t>
    <phoneticPr fontId="2"/>
  </si>
  <si>
    <r>
      <t>Hz</t>
    </r>
    <r>
      <rPr>
        <sz val="8"/>
        <rFont val="ＭＳ Ｐゴシック"/>
        <family val="3"/>
        <charset val="128"/>
      </rPr>
      <t>帯域</t>
    </r>
    <rPh sb="2" eb="4">
      <t>タイイキ</t>
    </rPh>
    <phoneticPr fontId="2"/>
  </si>
  <si>
    <r>
      <t>1</t>
    </r>
    <r>
      <rPr>
        <sz val="8"/>
        <rFont val="ＭＳ Ｐゴシック"/>
        <family val="3"/>
        <charset val="128"/>
      </rPr>
      <t>次固有振動数</t>
    </r>
    <r>
      <rPr>
        <sz val="8"/>
        <rFont val="Arial"/>
        <family val="2"/>
      </rPr>
      <t xml:space="preserve"> 0.8×f</t>
    </r>
    <r>
      <rPr>
        <vertAlign val="subscript"/>
        <sz val="8"/>
        <rFont val="Arial"/>
        <family val="2"/>
      </rPr>
      <t>0</t>
    </r>
    <rPh sb="1" eb="2">
      <t>ジ</t>
    </rPh>
    <rPh sb="2" eb="4">
      <t>コユウ</t>
    </rPh>
    <rPh sb="4" eb="7">
      <t>シンドウスウ</t>
    </rPh>
    <phoneticPr fontId="2"/>
  </si>
  <si>
    <r>
      <t>共振によるインピーダンスレベル補正量（</t>
    </r>
    <r>
      <rPr>
        <sz val="8"/>
        <rFont val="Arial"/>
        <family val="2"/>
      </rPr>
      <t>dB</t>
    </r>
    <r>
      <rPr>
        <sz val="8"/>
        <rFont val="ＭＳ Ｐゴシック"/>
        <family val="3"/>
        <charset val="128"/>
      </rPr>
      <t>）</t>
    </r>
    <rPh sb="0" eb="2">
      <t>キョウシン</t>
    </rPh>
    <rPh sb="15" eb="17">
      <t>ホセイ</t>
    </rPh>
    <rPh sb="17" eb="18">
      <t>リョウ</t>
    </rPh>
    <phoneticPr fontId="2"/>
  </si>
  <si>
    <r>
      <t>X</t>
    </r>
    <r>
      <rPr>
        <sz val="8"/>
        <rFont val="ＭＳ Ｐゴシック"/>
        <family val="3"/>
        <charset val="128"/>
      </rPr>
      <t>方向（</t>
    </r>
    <r>
      <rPr>
        <sz val="8"/>
        <rFont val="Arial"/>
        <family val="2"/>
      </rPr>
      <t>m</t>
    </r>
    <r>
      <rPr>
        <sz val="8"/>
        <rFont val="ＭＳ Ｐゴシック"/>
        <family val="3"/>
        <charset val="128"/>
      </rPr>
      <t>）</t>
    </r>
    <rPh sb="1" eb="3">
      <t>ホウコウ</t>
    </rPh>
    <phoneticPr fontId="2"/>
  </si>
  <si>
    <r>
      <t>Y</t>
    </r>
    <r>
      <rPr>
        <sz val="8"/>
        <rFont val="ＭＳ Ｐゴシック"/>
        <family val="3"/>
        <charset val="128"/>
      </rPr>
      <t>方向（</t>
    </r>
    <r>
      <rPr>
        <sz val="8"/>
        <rFont val="Arial"/>
        <family val="2"/>
      </rPr>
      <t>m</t>
    </r>
    <r>
      <rPr>
        <sz val="8"/>
        <rFont val="ＭＳ Ｐゴシック"/>
        <family val="3"/>
        <charset val="128"/>
      </rPr>
      <t>）</t>
    </r>
    <rPh sb="1" eb="3">
      <t>ホウコウ</t>
    </rPh>
    <phoneticPr fontId="2"/>
  </si>
  <si>
    <r>
      <t>等価スラブ厚さ</t>
    </r>
    <r>
      <rPr>
        <sz val="8"/>
        <rFont val="Arial"/>
        <family val="2"/>
      </rPr>
      <t>(mm)</t>
    </r>
    <rPh sb="0" eb="2">
      <t>トウカ</t>
    </rPh>
    <rPh sb="5" eb="6">
      <t>アツ</t>
    </rPh>
    <phoneticPr fontId="2"/>
  </si>
  <si>
    <r>
      <t>120mm</t>
    </r>
    <r>
      <rPr>
        <sz val="8"/>
        <rFont val="ＭＳ Ｐゴシック"/>
        <family val="3"/>
        <charset val="128"/>
      </rPr>
      <t>以下</t>
    </r>
    <rPh sb="5" eb="7">
      <t>イカ</t>
    </rPh>
    <phoneticPr fontId="2"/>
  </si>
  <si>
    <r>
      <t>130mm</t>
    </r>
    <r>
      <rPr>
        <sz val="8"/>
        <rFont val="ＭＳ Ｐゴシック"/>
        <family val="3"/>
        <charset val="128"/>
      </rPr>
      <t>以下</t>
    </r>
    <rPh sb="5" eb="7">
      <t>イカ</t>
    </rPh>
    <phoneticPr fontId="2"/>
  </si>
  <si>
    <r>
      <t>150mm</t>
    </r>
    <r>
      <rPr>
        <sz val="8"/>
        <rFont val="ＭＳ Ｐゴシック"/>
        <family val="3"/>
        <charset val="128"/>
      </rPr>
      <t>以下</t>
    </r>
    <rPh sb="5" eb="7">
      <t>イカ</t>
    </rPh>
    <phoneticPr fontId="2"/>
  </si>
  <si>
    <r>
      <t>180mm</t>
    </r>
    <r>
      <rPr>
        <sz val="8"/>
        <rFont val="ＭＳ Ｐゴシック"/>
        <family val="3"/>
        <charset val="128"/>
      </rPr>
      <t>以下</t>
    </r>
    <rPh sb="5" eb="7">
      <t>イカ</t>
    </rPh>
    <phoneticPr fontId="2"/>
  </si>
  <si>
    <r>
      <t>200mm</t>
    </r>
    <r>
      <rPr>
        <sz val="8"/>
        <rFont val="ＭＳ Ｐゴシック"/>
        <family val="3"/>
        <charset val="128"/>
      </rPr>
      <t>以下</t>
    </r>
    <rPh sb="5" eb="7">
      <t>イカ</t>
    </rPh>
    <phoneticPr fontId="2"/>
  </si>
  <si>
    <r>
      <t>230mm</t>
    </r>
    <r>
      <rPr>
        <sz val="8"/>
        <rFont val="ＭＳ Ｐゴシック"/>
        <family val="3"/>
        <charset val="128"/>
      </rPr>
      <t>以下</t>
    </r>
    <rPh sb="5" eb="7">
      <t>イカ</t>
    </rPh>
    <phoneticPr fontId="2"/>
  </si>
  <si>
    <r>
      <t>250mm</t>
    </r>
    <r>
      <rPr>
        <sz val="8"/>
        <rFont val="ＭＳ Ｐゴシック"/>
        <family val="3"/>
        <charset val="128"/>
      </rPr>
      <t>以下</t>
    </r>
    <rPh sb="5" eb="7">
      <t>イカ</t>
    </rPh>
    <phoneticPr fontId="2"/>
  </si>
  <si>
    <r>
      <t>300mm</t>
    </r>
    <r>
      <rPr>
        <sz val="8"/>
        <rFont val="ＭＳ Ｐゴシック"/>
        <family val="3"/>
        <charset val="128"/>
      </rPr>
      <t>以下</t>
    </r>
    <rPh sb="5" eb="7">
      <t>イカ</t>
    </rPh>
    <phoneticPr fontId="2"/>
  </si>
  <si>
    <r>
      <t>300mm</t>
    </r>
    <r>
      <rPr>
        <sz val="8"/>
        <rFont val="ＭＳ Ｐゴシック"/>
        <family val="3"/>
        <charset val="128"/>
      </rPr>
      <t>以上</t>
    </r>
    <rPh sb="5" eb="7">
      <t>イジョウ</t>
    </rPh>
    <phoneticPr fontId="2"/>
  </si>
  <si>
    <r>
      <t>衝撃力実効値</t>
    </r>
    <r>
      <rPr>
        <sz val="8"/>
        <rFont val="Arial"/>
        <family val="2"/>
      </rPr>
      <t>(N)</t>
    </r>
    <rPh sb="0" eb="3">
      <t>ショウゲキリョク</t>
    </rPh>
    <rPh sb="3" eb="5">
      <t>ジッコウ</t>
    </rPh>
    <rPh sb="5" eb="6">
      <t>チ</t>
    </rPh>
    <phoneticPr fontId="2"/>
  </si>
  <si>
    <r>
      <t>衝撃力レベル</t>
    </r>
    <r>
      <rPr>
        <sz val="8"/>
        <rFont val="Arial"/>
        <family val="2"/>
      </rPr>
      <t xml:space="preserve">(dB) </t>
    </r>
    <r>
      <rPr>
        <sz val="8"/>
        <rFont val="ＭＳ Ｐゴシック"/>
        <family val="3"/>
        <charset val="128"/>
      </rPr>
      <t>計算</t>
    </r>
    <rPh sb="0" eb="3">
      <t>ショウゲキリョク</t>
    </rPh>
    <rPh sb="11" eb="13">
      <t>ケイサン</t>
    </rPh>
    <phoneticPr fontId="2"/>
  </si>
  <si>
    <r>
      <t>衝撃力レベル</t>
    </r>
    <r>
      <rPr>
        <sz val="8"/>
        <rFont val="Arial"/>
        <family val="2"/>
      </rPr>
      <t xml:space="preserve">(dB) </t>
    </r>
    <r>
      <rPr>
        <sz val="8"/>
        <rFont val="ＭＳ Ｐゴシック"/>
        <family val="3"/>
        <charset val="128"/>
      </rPr>
      <t>資料</t>
    </r>
    <rPh sb="0" eb="3">
      <t>ショウゲキリョク</t>
    </rPh>
    <rPh sb="11" eb="13">
      <t>シリョウ</t>
    </rPh>
    <phoneticPr fontId="2"/>
  </si>
  <si>
    <r>
      <t>衝撃力レベル</t>
    </r>
    <r>
      <rPr>
        <sz val="8"/>
        <rFont val="Arial"/>
        <family val="2"/>
      </rPr>
      <t xml:space="preserve">(dB) </t>
    </r>
    <rPh sb="0" eb="3">
      <t>ショウゲキリョク</t>
    </rPh>
    <phoneticPr fontId="2"/>
  </si>
  <si>
    <r>
      <t>L</t>
    </r>
    <r>
      <rPr>
        <sz val="8"/>
        <rFont val="ＭＳ Ｐゴシック"/>
        <family val="3"/>
        <charset val="128"/>
      </rPr>
      <t>数</t>
    </r>
    <rPh sb="1" eb="2">
      <t>スウ</t>
    </rPh>
    <phoneticPr fontId="2"/>
  </si>
  <si>
    <t>サイレントボイドスラブの断面性能算定シート</t>
  </si>
  <si>
    <t>スラブ符号</t>
  </si>
  <si>
    <t>ﾎﾞｲﾄﾞ巾</t>
  </si>
  <si>
    <t>ﾎﾞｲﾄﾞ間隔</t>
  </si>
  <si>
    <t>ﾎﾞｲﾄﾞ長さ</t>
  </si>
  <si>
    <t>ﾎﾞｲﾄﾞ
最高部高</t>
  </si>
  <si>
    <t>ﾎﾞｲﾄﾞ
端部高さ</t>
  </si>
  <si>
    <t>スラブ厚</t>
  </si>
  <si>
    <t>PCａ版厚さ</t>
  </si>
  <si>
    <t>現場打ち
CON厚さ</t>
  </si>
  <si>
    <t>X1</t>
  </si>
  <si>
    <t>X2</t>
  </si>
  <si>
    <t>Y1</t>
  </si>
  <si>
    <t>Y2</t>
  </si>
  <si>
    <t>Y3</t>
  </si>
  <si>
    <t>Y4</t>
  </si>
  <si>
    <t>A1</t>
  </si>
  <si>
    <t>A2</t>
  </si>
  <si>
    <t>A3</t>
  </si>
  <si>
    <t>A4</t>
  </si>
  <si>
    <t>A1*y1</t>
  </si>
  <si>
    <t>A2*y2</t>
  </si>
  <si>
    <t>A3*y3</t>
  </si>
  <si>
    <t>A4*y4</t>
  </si>
  <si>
    <t>∑A*y</t>
  </si>
  <si>
    <t>重量</t>
  </si>
  <si>
    <t>図芯位置</t>
  </si>
  <si>
    <t>図芯位置'</t>
  </si>
  <si>
    <t>断面積</t>
  </si>
  <si>
    <t>I1</t>
  </si>
  <si>
    <t>I2</t>
  </si>
  <si>
    <t>I3</t>
  </si>
  <si>
    <t>I41</t>
  </si>
  <si>
    <t>I42</t>
  </si>
  <si>
    <t>I43</t>
  </si>
  <si>
    <t>I44</t>
  </si>
  <si>
    <t>断面2次
ﾓｰﾒﾝﾄ</t>
  </si>
  <si>
    <t>断面係数</t>
  </si>
  <si>
    <t>Ｌs</t>
  </si>
  <si>
    <t>ｌ０</t>
  </si>
  <si>
    <t>ｔ</t>
  </si>
  <si>
    <t>ｔｐｃ</t>
  </si>
  <si>
    <t>t-tpc</t>
  </si>
  <si>
    <t>w</t>
  </si>
  <si>
    <t>g</t>
  </si>
  <si>
    <t>g'</t>
  </si>
  <si>
    <t>Ａ</t>
  </si>
  <si>
    <t>Ｉ</t>
  </si>
  <si>
    <t>Ｚ上</t>
  </si>
  <si>
    <t>Ｚ下</t>
  </si>
  <si>
    <t>(mm)</t>
  </si>
  <si>
    <t>(cm)</t>
  </si>
  <si>
    <t>VS1</t>
  </si>
  <si>
    <t>Pca板=</t>
  </si>
  <si>
    <t>日本建築学会「鉄筋コンクリート構造計算規準・同解説」による</t>
  </si>
  <si>
    <t>現場打ち=</t>
  </si>
  <si>
    <t>スラブの形状と躯体自重の算定</t>
  </si>
  <si>
    <t>3.0×43.0-2×3.0×14.3／π＝101.6</t>
  </si>
  <si>
    <t>101.6/43.0＝2.36 cm</t>
  </si>
  <si>
    <t>矩形ボイドスラブの断面性能算定シート</t>
  </si>
  <si>
    <t>Ｂe</t>
  </si>
  <si>
    <t>ｂ０</t>
  </si>
  <si>
    <t>Ｌe</t>
  </si>
  <si>
    <t>Ｈe</t>
  </si>
  <si>
    <r>
      <t>t</t>
    </r>
    <r>
      <rPr>
        <sz val="11"/>
        <rFont val="ＭＳ Ｐゴシック"/>
        <family val="3"/>
        <charset val="128"/>
      </rPr>
      <t>=280</t>
    </r>
    <phoneticPr fontId="2"/>
  </si>
  <si>
    <r>
      <t>P</t>
    </r>
    <r>
      <rPr>
        <sz val="11"/>
        <rFont val="ＭＳ Ｐゴシック"/>
        <family val="3"/>
        <charset val="128"/>
      </rPr>
      <t>ca板のﾔﾝｸﾞ係数考慮</t>
    </r>
  </si>
  <si>
    <t>（波型ボイド形状として算定）</t>
    <rPh sb="1" eb="3">
      <t>ナミガタ</t>
    </rPh>
    <rPh sb="6" eb="8">
      <t>ケイジョウ</t>
    </rPh>
    <rPh sb="11" eb="13">
      <t>サンテイ</t>
    </rPh>
    <phoneticPr fontId="2"/>
  </si>
  <si>
    <r>
      <t>(N/m</t>
    </r>
    <r>
      <rPr>
        <vertAlign val="superscript"/>
        <sz val="11"/>
        <rFont val="ＭＳ Ｐゴシック"/>
        <family val="3"/>
        <charset val="128"/>
      </rPr>
      <t>2</t>
    </r>
    <r>
      <rPr>
        <sz val="11"/>
        <rFont val="ＭＳ Ｐゴシック"/>
        <family val="3"/>
        <charset val="128"/>
      </rPr>
      <t>)</t>
    </r>
  </si>
  <si>
    <r>
      <t>(cm</t>
    </r>
    <r>
      <rPr>
        <vertAlign val="superscript"/>
        <sz val="11"/>
        <rFont val="ＭＳ Ｐゴシック"/>
        <family val="3"/>
        <charset val="128"/>
      </rPr>
      <t>2</t>
    </r>
    <r>
      <rPr>
        <sz val="11"/>
        <rFont val="ＭＳ Ｐゴシック"/>
        <family val="3"/>
        <charset val="128"/>
      </rPr>
      <t>)</t>
    </r>
  </si>
  <si>
    <r>
      <t>(cm</t>
    </r>
    <r>
      <rPr>
        <vertAlign val="superscript"/>
        <sz val="11"/>
        <rFont val="ＭＳ Ｐゴシック"/>
        <family val="3"/>
        <charset val="128"/>
      </rPr>
      <t>4</t>
    </r>
    <r>
      <rPr>
        <sz val="11"/>
        <rFont val="ＭＳ Ｐゴシック"/>
        <family val="3"/>
        <charset val="128"/>
      </rPr>
      <t>)</t>
    </r>
  </si>
  <si>
    <r>
      <t>(cm</t>
    </r>
    <r>
      <rPr>
        <vertAlign val="superscript"/>
        <sz val="11"/>
        <rFont val="ＭＳ Ｐゴシック"/>
        <family val="3"/>
        <charset val="128"/>
      </rPr>
      <t>3</t>
    </r>
    <r>
      <rPr>
        <sz val="11"/>
        <rFont val="ＭＳ Ｐゴシック"/>
        <family val="3"/>
        <charset val="128"/>
      </rPr>
      <t>)</t>
    </r>
  </si>
  <si>
    <r>
      <t>ｺﾝｸﾘｰﾄ強度Fc(N/mm</t>
    </r>
    <r>
      <rPr>
        <vertAlign val="superscript"/>
        <sz val="10"/>
        <rFont val="ＭＳ Ｐゴシック"/>
        <family val="3"/>
        <charset val="128"/>
      </rPr>
      <t>2</t>
    </r>
    <r>
      <rPr>
        <sz val="10"/>
        <rFont val="ＭＳ Ｐゴシック"/>
        <family val="3"/>
        <charset val="128"/>
      </rPr>
      <t>)</t>
    </r>
    <phoneticPr fontId="2"/>
  </si>
  <si>
    <r>
      <t>P</t>
    </r>
    <r>
      <rPr>
        <sz val="11"/>
        <rFont val="ＭＳ Ｐゴシック"/>
        <family val="3"/>
        <charset val="128"/>
      </rPr>
      <t>ca板=</t>
    </r>
  </si>
  <si>
    <r>
      <t>ﾔﾝｸﾞ係数Ec(N/mm</t>
    </r>
    <r>
      <rPr>
        <vertAlign val="superscript"/>
        <sz val="10"/>
        <rFont val="ＭＳ Ｐゴシック"/>
        <family val="3"/>
        <charset val="128"/>
      </rPr>
      <t>2</t>
    </r>
    <r>
      <rPr>
        <sz val="10"/>
        <rFont val="ＭＳ Ｐゴシック"/>
        <family val="3"/>
        <charset val="128"/>
      </rPr>
      <t>)</t>
    </r>
    <phoneticPr fontId="2"/>
  </si>
  <si>
    <r>
      <t>E</t>
    </r>
    <r>
      <rPr>
        <sz val="11"/>
        <rFont val="ＭＳ Ｐゴシック"/>
        <family val="3"/>
        <charset val="128"/>
      </rPr>
      <t>c(N/mm^2)=</t>
    </r>
  </si>
  <si>
    <t>　斜線部の面積が同じ矩形に等価する</t>
    <phoneticPr fontId="2"/>
  </si>
  <si>
    <r>
      <t>m</t>
    </r>
    <r>
      <rPr>
        <sz val="11"/>
        <rFont val="ＭＳ Ｐゴシック"/>
        <family val="3"/>
        <charset val="128"/>
      </rPr>
      <t>m</t>
    </r>
    <phoneticPr fontId="2"/>
  </si>
  <si>
    <t>　場所打ちコンクリートの平均厚さ</t>
    <phoneticPr fontId="2"/>
  </si>
  <si>
    <t>　場所打ちコンクリート+ＰＣ板の自重</t>
    <phoneticPr fontId="2"/>
  </si>
  <si>
    <r>
      <t>N</t>
    </r>
    <r>
      <rPr>
        <sz val="11"/>
        <rFont val="ＭＳ Ｐゴシック"/>
        <family val="3"/>
        <charset val="128"/>
      </rPr>
      <t>/m</t>
    </r>
    <r>
      <rPr>
        <vertAlign val="superscript"/>
        <sz val="11"/>
        <rFont val="ＭＳ Ｐゴシック"/>
        <family val="3"/>
        <charset val="128"/>
      </rPr>
      <t>2</t>
    </r>
    <phoneticPr fontId="2"/>
  </si>
  <si>
    <r>
      <t>k</t>
    </r>
    <r>
      <rPr>
        <sz val="11"/>
        <rFont val="ＭＳ Ｐゴシック"/>
        <family val="3"/>
        <charset val="128"/>
      </rPr>
      <t>g/m</t>
    </r>
    <r>
      <rPr>
        <vertAlign val="superscript"/>
        <sz val="11"/>
        <rFont val="ＭＳ Ｐゴシック"/>
        <family val="3"/>
        <charset val="128"/>
      </rPr>
      <t>2</t>
    </r>
    <phoneticPr fontId="2"/>
  </si>
  <si>
    <r>
      <t xml:space="preserve">　断面２次モーメント </t>
    </r>
    <r>
      <rPr>
        <sz val="11"/>
        <rFont val="ＭＳ Ｐゴシック"/>
        <family val="3"/>
        <charset val="128"/>
      </rPr>
      <t>I m</t>
    </r>
    <r>
      <rPr>
        <vertAlign val="superscript"/>
        <sz val="11"/>
        <rFont val="ＭＳ Ｐゴシック"/>
        <family val="3"/>
        <charset val="128"/>
      </rPr>
      <t>4</t>
    </r>
    <r>
      <rPr>
        <sz val="11"/>
        <rFont val="ＭＳ Ｐゴシック"/>
        <family val="3"/>
        <charset val="128"/>
      </rPr>
      <t>/m</t>
    </r>
    <rPh sb="1" eb="3">
      <t>ダンメン</t>
    </rPh>
    <rPh sb="4" eb="5">
      <t>ジ</t>
    </rPh>
    <phoneticPr fontId="2"/>
  </si>
  <si>
    <t>等価剛性厚（重量床衝撃音レベルの予測計算用）</t>
    <rPh sb="0" eb="2">
      <t>トウカ</t>
    </rPh>
    <rPh sb="2" eb="4">
      <t>ゴウセイ</t>
    </rPh>
    <rPh sb="4" eb="5">
      <t>アツ</t>
    </rPh>
    <rPh sb="6" eb="8">
      <t>ジュウリョウ</t>
    </rPh>
    <rPh sb="8" eb="9">
      <t>ユカ</t>
    </rPh>
    <rPh sb="9" eb="11">
      <t>ショウゲキ</t>
    </rPh>
    <rPh sb="11" eb="12">
      <t>オン</t>
    </rPh>
    <rPh sb="16" eb="18">
      <t>ヨソク</t>
    </rPh>
    <rPh sb="18" eb="20">
      <t>ケイサン</t>
    </rPh>
    <rPh sb="20" eb="21">
      <t>ヨウ</t>
    </rPh>
    <phoneticPr fontId="2"/>
  </si>
  <si>
    <r>
      <t>c</t>
    </r>
    <r>
      <rPr>
        <sz val="11"/>
        <rFont val="ＭＳ Ｐゴシック"/>
        <family val="3"/>
        <charset val="128"/>
      </rPr>
      <t>m</t>
    </r>
    <r>
      <rPr>
        <vertAlign val="superscript"/>
        <sz val="11"/>
        <rFont val="ＭＳ Ｐゴシック"/>
        <family val="3"/>
        <charset val="128"/>
      </rPr>
      <t>4</t>
    </r>
    <r>
      <rPr>
        <sz val="11"/>
        <rFont val="ＭＳ Ｐゴシック"/>
        <family val="3"/>
        <charset val="128"/>
      </rPr>
      <t>/m =</t>
    </r>
    <phoneticPr fontId="2"/>
  </si>
  <si>
    <r>
      <t>m</t>
    </r>
    <r>
      <rPr>
        <vertAlign val="superscript"/>
        <sz val="11"/>
        <rFont val="ＭＳ Ｐゴシック"/>
        <family val="3"/>
        <charset val="128"/>
      </rPr>
      <t>4</t>
    </r>
    <r>
      <rPr>
        <sz val="11"/>
        <rFont val="ＭＳ Ｐゴシック"/>
        <family val="3"/>
        <charset val="128"/>
      </rPr>
      <t>/m</t>
    </r>
    <phoneticPr fontId="2"/>
  </si>
  <si>
    <r>
      <t>c</t>
    </r>
    <r>
      <rPr>
        <sz val="11"/>
        <rFont val="ＭＳ Ｐゴシック"/>
        <family val="3"/>
        <charset val="128"/>
      </rPr>
      <t>m =</t>
    </r>
    <phoneticPr fontId="2"/>
  </si>
  <si>
    <r>
      <t>m</t>
    </r>
    <r>
      <rPr>
        <sz val="11"/>
        <rFont val="ＭＳ Ｐゴシック"/>
        <family val="3"/>
        <charset val="128"/>
      </rPr>
      <t>m</t>
    </r>
    <phoneticPr fontId="2"/>
  </si>
  <si>
    <r>
      <t xml:space="preserve">　等価厚さ </t>
    </r>
    <r>
      <rPr>
        <sz val="11"/>
        <rFont val="ＭＳ Ｐゴシック"/>
        <family val="3"/>
        <charset val="128"/>
      </rPr>
      <t>h1 mm</t>
    </r>
    <rPh sb="1" eb="3">
      <t>トウカ</t>
    </rPh>
    <rPh sb="3" eb="4">
      <t>アツ</t>
    </rPh>
    <phoneticPr fontId="2"/>
  </si>
  <si>
    <r>
      <t>P</t>
    </r>
    <r>
      <rPr>
        <sz val="11"/>
        <rFont val="ＭＳ Ｐゴシック"/>
        <family val="3"/>
        <charset val="128"/>
      </rPr>
      <t>ca板のﾔﾝｸﾞ係数を考慮し、全体のEcを現場打ちとして求めた結果</t>
    </r>
    <rPh sb="3" eb="4">
      <t>イタ</t>
    </rPh>
    <rPh sb="9" eb="11">
      <t>ケイスウ</t>
    </rPh>
    <rPh sb="12" eb="14">
      <t>コウリョ</t>
    </rPh>
    <rPh sb="16" eb="18">
      <t>ゼンタイ</t>
    </rPh>
    <rPh sb="22" eb="24">
      <t>ゲンバ</t>
    </rPh>
    <rPh sb="24" eb="25">
      <t>ウ</t>
    </rPh>
    <rPh sb="29" eb="30">
      <t>モト</t>
    </rPh>
    <rPh sb="32" eb="34">
      <t>ケッカ</t>
    </rPh>
    <phoneticPr fontId="2"/>
  </si>
  <si>
    <r>
      <t xml:space="preserve">等価剛性厚が </t>
    </r>
    <r>
      <rPr>
        <sz val="11"/>
        <rFont val="ＭＳ Ｐゴシック"/>
        <family val="3"/>
        <charset val="128"/>
      </rPr>
      <t>280 mm より大きな値となっている。</t>
    </r>
    <rPh sb="0" eb="2">
      <t>トウカ</t>
    </rPh>
    <rPh sb="2" eb="4">
      <t>ゴウセイ</t>
    </rPh>
    <rPh sb="4" eb="5">
      <t>アツ</t>
    </rPh>
    <rPh sb="16" eb="17">
      <t>オオ</t>
    </rPh>
    <rPh sb="19" eb="20">
      <t>アタイ</t>
    </rPh>
    <phoneticPr fontId="2"/>
  </si>
  <si>
    <r>
      <t>h</t>
    </r>
    <r>
      <rPr>
        <sz val="11"/>
        <rFont val="ＭＳ Ｐゴシック"/>
        <family val="3"/>
        <charset val="128"/>
      </rPr>
      <t>1 = ( 2m・Σ(E</t>
    </r>
    <r>
      <rPr>
        <vertAlign val="subscript"/>
        <sz val="11"/>
        <rFont val="ＭＳ Ｐゴシック"/>
        <family val="3"/>
        <charset val="128"/>
      </rPr>
      <t>i</t>
    </r>
    <r>
      <rPr>
        <sz val="11"/>
        <rFont val="ＭＳ Ｐゴシック"/>
        <family val="3"/>
        <charset val="128"/>
      </rPr>
      <t>I</t>
    </r>
    <r>
      <rPr>
        <vertAlign val="subscript"/>
        <sz val="11"/>
        <rFont val="ＭＳ Ｐゴシック"/>
        <family val="3"/>
        <charset val="128"/>
      </rPr>
      <t>i</t>
    </r>
    <r>
      <rPr>
        <sz val="11"/>
        <rFont val="ＭＳ Ｐゴシック"/>
        <family val="3"/>
        <charset val="128"/>
      </rPr>
      <t>)×10</t>
    </r>
    <r>
      <rPr>
        <vertAlign val="superscript"/>
        <sz val="11"/>
        <rFont val="ＭＳ Ｐゴシック"/>
        <family val="3"/>
        <charset val="128"/>
      </rPr>
      <t>-13</t>
    </r>
    <r>
      <rPr>
        <sz val="11"/>
        <rFont val="ＭＳ Ｐゴシック"/>
        <family val="3"/>
        <charset val="128"/>
      </rPr>
      <t>)</t>
    </r>
    <r>
      <rPr>
        <vertAlign val="superscript"/>
        <sz val="11"/>
        <rFont val="ＭＳ Ｐゴシック"/>
        <family val="3"/>
        <charset val="128"/>
      </rPr>
      <t>1/4</t>
    </r>
    <phoneticPr fontId="2"/>
  </si>
  <si>
    <t>（等価ボイド形状として算定）</t>
    <rPh sb="1" eb="3">
      <t>トウカ</t>
    </rPh>
    <rPh sb="6" eb="8">
      <t>ケイジョウ</t>
    </rPh>
    <rPh sb="11" eb="13">
      <t>サンテイ</t>
    </rPh>
    <phoneticPr fontId="2"/>
  </si>
  <si>
    <r>
      <t>c</t>
    </r>
    <r>
      <rPr>
        <sz val="11"/>
        <rFont val="ＭＳ Ｐゴシック"/>
        <family val="3"/>
        <charset val="128"/>
      </rPr>
      <t>m</t>
    </r>
    <r>
      <rPr>
        <vertAlign val="superscript"/>
        <sz val="11"/>
        <rFont val="ＭＳ Ｐゴシック"/>
        <family val="3"/>
        <charset val="128"/>
      </rPr>
      <t>4</t>
    </r>
    <r>
      <rPr>
        <sz val="11"/>
        <rFont val="ＭＳ Ｐゴシック"/>
        <family val="3"/>
        <charset val="128"/>
      </rPr>
      <t xml:space="preserve"> =</t>
    </r>
    <phoneticPr fontId="2"/>
  </si>
  <si>
    <r>
      <t>m</t>
    </r>
    <r>
      <rPr>
        <vertAlign val="superscript"/>
        <sz val="11"/>
        <rFont val="ＭＳ Ｐゴシック"/>
        <family val="3"/>
        <charset val="128"/>
      </rPr>
      <t>4</t>
    </r>
    <r>
      <rPr>
        <sz val="11"/>
        <rFont val="ＭＳ Ｐゴシック"/>
        <family val="3"/>
        <charset val="128"/>
      </rPr>
      <t>/m</t>
    </r>
    <phoneticPr fontId="2"/>
  </si>
  <si>
    <r>
      <t>h</t>
    </r>
    <r>
      <rPr>
        <sz val="11"/>
        <rFont val="ＭＳ Ｐゴシック"/>
        <family val="3"/>
        <charset val="128"/>
      </rPr>
      <t>1 = ( 2m・Σ(E</t>
    </r>
    <r>
      <rPr>
        <vertAlign val="subscript"/>
        <sz val="11"/>
        <rFont val="ＭＳ Ｐゴシック"/>
        <family val="3"/>
        <charset val="128"/>
      </rPr>
      <t>i</t>
    </r>
    <r>
      <rPr>
        <sz val="11"/>
        <rFont val="ＭＳ Ｐゴシック"/>
        <family val="3"/>
        <charset val="128"/>
      </rPr>
      <t>I</t>
    </r>
    <r>
      <rPr>
        <vertAlign val="subscript"/>
        <sz val="11"/>
        <rFont val="ＭＳ Ｐゴシック"/>
        <family val="3"/>
        <charset val="128"/>
      </rPr>
      <t>i</t>
    </r>
    <r>
      <rPr>
        <sz val="11"/>
        <rFont val="ＭＳ Ｐゴシック"/>
        <family val="3"/>
        <charset val="128"/>
      </rPr>
      <t>)×10</t>
    </r>
    <r>
      <rPr>
        <vertAlign val="superscript"/>
        <sz val="11"/>
        <rFont val="ＭＳ Ｐゴシック"/>
        <family val="3"/>
        <charset val="128"/>
      </rPr>
      <t>-13</t>
    </r>
    <r>
      <rPr>
        <sz val="11"/>
        <rFont val="ＭＳ Ｐゴシック"/>
        <family val="3"/>
        <charset val="128"/>
      </rPr>
      <t>)</t>
    </r>
    <r>
      <rPr>
        <vertAlign val="superscript"/>
        <sz val="11"/>
        <rFont val="ＭＳ Ｐゴシック"/>
        <family val="3"/>
        <charset val="128"/>
      </rPr>
      <t>1/4</t>
    </r>
    <phoneticPr fontId="2"/>
  </si>
  <si>
    <t>B</t>
    <phoneticPr fontId="2"/>
  </si>
  <si>
    <t>BB</t>
    <phoneticPr fontId="2"/>
  </si>
  <si>
    <t>hB+30</t>
    <phoneticPr fontId="2"/>
  </si>
  <si>
    <t>hh+h</t>
    <phoneticPr fontId="2"/>
  </si>
  <si>
    <t>平均床衝撃音レベル</t>
    <rPh sb="0" eb="2">
      <t>ヘイキン</t>
    </rPh>
    <rPh sb="2" eb="3">
      <t>ユカ</t>
    </rPh>
    <rPh sb="3" eb="5">
      <t>ショウゲキ</t>
    </rPh>
    <rPh sb="5" eb="6">
      <t>オン</t>
    </rPh>
    <phoneticPr fontId="2"/>
  </si>
  <si>
    <t>床衝撃音レベル</t>
    <rPh sb="0" eb="1">
      <t>ユカ</t>
    </rPh>
    <rPh sb="1" eb="3">
      <t>ショウゲキ</t>
    </rPh>
    <rPh sb="3" eb="4">
      <t>オン</t>
    </rPh>
    <phoneticPr fontId="2"/>
  </si>
  <si>
    <t>63Hz</t>
    <phoneticPr fontId="2"/>
  </si>
  <si>
    <t>125Hz</t>
    <phoneticPr fontId="2"/>
  </si>
  <si>
    <t>250Hz</t>
    <phoneticPr fontId="2"/>
  </si>
  <si>
    <r>
      <t>衝撃力レベル</t>
    </r>
    <r>
      <rPr>
        <sz val="10"/>
        <rFont val="Arial"/>
        <family val="2"/>
      </rPr>
      <t xml:space="preserve"> 20log(Frms)</t>
    </r>
    <rPh sb="0" eb="3">
      <t>ショウゲキリョク</t>
    </rPh>
    <phoneticPr fontId="2"/>
  </si>
  <si>
    <r>
      <t>基本インピーダンスレベル</t>
    </r>
    <r>
      <rPr>
        <sz val="10"/>
        <rFont val="Arial"/>
        <family val="2"/>
      </rPr>
      <t xml:space="preserve"> Lz</t>
    </r>
    <rPh sb="0" eb="2">
      <t>キホン</t>
    </rPh>
    <phoneticPr fontId="2"/>
  </si>
  <si>
    <t>S2</t>
    <phoneticPr fontId="2"/>
  </si>
  <si>
    <t>S3</t>
    <phoneticPr fontId="2"/>
  </si>
  <si>
    <t>S4</t>
    <phoneticPr fontId="2"/>
  </si>
  <si>
    <t>S5</t>
    <phoneticPr fontId="2"/>
  </si>
  <si>
    <r>
      <t>有効放射面積</t>
    </r>
    <r>
      <rPr>
        <sz val="10"/>
        <rFont val="Arial"/>
        <family val="2"/>
      </rPr>
      <t xml:space="preserve"> Seff</t>
    </r>
    <rPh sb="0" eb="2">
      <t>ユウコウ</t>
    </rPh>
    <rPh sb="2" eb="4">
      <t>ホウシャ</t>
    </rPh>
    <rPh sb="4" eb="6">
      <t>メンセキ</t>
    </rPh>
    <phoneticPr fontId="2"/>
  </si>
  <si>
    <r>
      <t>音響放射係数レベル</t>
    </r>
    <r>
      <rPr>
        <sz val="10"/>
        <rFont val="Arial"/>
        <family val="2"/>
      </rPr>
      <t xml:space="preserve"> 10log(k)</t>
    </r>
    <rPh sb="0" eb="2">
      <t>オンキョウ</t>
    </rPh>
    <rPh sb="2" eb="4">
      <t>ホウシャ</t>
    </rPh>
    <rPh sb="4" eb="6">
      <t>ケイスウ</t>
    </rPh>
    <phoneticPr fontId="2"/>
  </si>
  <si>
    <r>
      <t>60dB</t>
    </r>
    <r>
      <rPr>
        <sz val="10"/>
        <rFont val="ＭＳ Ｐゴシック"/>
        <family val="3"/>
        <charset val="128"/>
      </rPr>
      <t>減衰時間</t>
    </r>
    <r>
      <rPr>
        <sz val="10"/>
        <rFont val="Arial"/>
        <family val="2"/>
      </rPr>
      <t xml:space="preserve"> 10log(T60)</t>
    </r>
    <rPh sb="4" eb="6">
      <t>ゲンスイ</t>
    </rPh>
    <rPh sb="6" eb="8">
      <t>ジカン</t>
    </rPh>
    <phoneticPr fontId="2"/>
  </si>
  <si>
    <r>
      <t>コンクリート床スラブ厚</t>
    </r>
    <r>
      <rPr>
        <sz val="10"/>
        <rFont val="Arial"/>
        <family val="2"/>
      </rPr>
      <t xml:space="preserve"> 10log(h)</t>
    </r>
    <rPh sb="6" eb="7">
      <t>ユカ</t>
    </rPh>
    <rPh sb="10" eb="11">
      <t>アツ</t>
    </rPh>
    <phoneticPr fontId="2"/>
  </si>
  <si>
    <t>L-80</t>
    <phoneticPr fontId="2"/>
  </si>
  <si>
    <t>L-75</t>
    <phoneticPr fontId="2"/>
  </si>
  <si>
    <t>L-70</t>
    <phoneticPr fontId="2"/>
  </si>
  <si>
    <t>L-65</t>
    <phoneticPr fontId="2"/>
  </si>
  <si>
    <t>L-60</t>
    <phoneticPr fontId="2"/>
  </si>
  <si>
    <t>L-55</t>
    <phoneticPr fontId="2"/>
  </si>
  <si>
    <t>L-50</t>
    <phoneticPr fontId="2"/>
  </si>
  <si>
    <t>L-45</t>
  </si>
  <si>
    <t>L-40</t>
  </si>
  <si>
    <t>L-35</t>
  </si>
  <si>
    <t>L-30</t>
  </si>
  <si>
    <t>軽量</t>
    <rPh sb="0" eb="2">
      <t>ケイリョウ</t>
    </rPh>
    <phoneticPr fontId="2"/>
  </si>
  <si>
    <t>予測対象建物名</t>
    <rPh sb="2" eb="4">
      <t>タイショウ</t>
    </rPh>
    <rPh sb="4" eb="6">
      <t>タテモノ</t>
    </rPh>
    <rPh sb="6" eb="7">
      <t>メイ</t>
    </rPh>
    <phoneticPr fontId="2"/>
  </si>
  <si>
    <t>予測対象居室（音源室）</t>
    <rPh sb="2" eb="4">
      <t>タイショウ</t>
    </rPh>
    <rPh sb="4" eb="6">
      <t>キョシツ</t>
    </rPh>
    <rPh sb="7" eb="9">
      <t>オンゲン</t>
    </rPh>
    <rPh sb="9" eb="10">
      <t>シツ</t>
    </rPh>
    <phoneticPr fontId="2"/>
  </si>
  <si>
    <t>予測対象居室（受音室）</t>
    <rPh sb="2" eb="4">
      <t>タイショウ</t>
    </rPh>
    <rPh sb="4" eb="6">
      <t>キョシツ</t>
    </rPh>
    <rPh sb="7" eb="8">
      <t>ジュ</t>
    </rPh>
    <rPh sb="8" eb="9">
      <t>オン</t>
    </rPh>
    <rPh sb="9" eb="10">
      <t>シツ</t>
    </rPh>
    <phoneticPr fontId="2"/>
  </si>
  <si>
    <r>
      <t>6)</t>
    </r>
    <r>
      <rPr>
        <sz val="8"/>
        <rFont val="ＭＳ Ｐゴシック"/>
        <family val="3"/>
        <charset val="128"/>
      </rPr>
      <t>サイレントボイドスラブの場合</t>
    </r>
    <rPh sb="14" eb="16">
      <t>バアイ</t>
    </rPh>
    <phoneticPr fontId="2"/>
  </si>
  <si>
    <r>
      <t>7)</t>
    </r>
    <r>
      <rPr>
        <sz val="8"/>
        <rFont val="ＭＳ Ｐゴシック"/>
        <family val="3"/>
        <charset val="128"/>
      </rPr>
      <t>打ち込みサイレントボイドスラブの場合</t>
    </r>
    <rPh sb="2" eb="3">
      <t>ウ</t>
    </rPh>
    <rPh sb="4" eb="5">
      <t>コ</t>
    </rPh>
    <rPh sb="18" eb="20">
      <t>バアイ</t>
    </rPh>
    <phoneticPr fontId="2"/>
  </si>
  <si>
    <t>打撃点と梁の距離の確認</t>
    <rPh sb="0" eb="2">
      <t>ダゲキ</t>
    </rPh>
    <rPh sb="2" eb="3">
      <t>テン</t>
    </rPh>
    <rPh sb="4" eb="5">
      <t>ハリ</t>
    </rPh>
    <rPh sb="6" eb="8">
      <t>キョリ</t>
    </rPh>
    <rPh sb="9" eb="11">
      <t>カクニン</t>
    </rPh>
    <phoneticPr fontId="2"/>
  </si>
  <si>
    <t>fc</t>
    <phoneticPr fontId="2"/>
  </si>
  <si>
    <t>h</t>
    <phoneticPr fontId="2"/>
  </si>
  <si>
    <t>λb</t>
    <phoneticPr fontId="2"/>
  </si>
  <si>
    <t>λc</t>
    <phoneticPr fontId="2"/>
  </si>
  <si>
    <t>Cl</t>
    <phoneticPr fontId="2"/>
  </si>
  <si>
    <t>C</t>
    <phoneticPr fontId="2"/>
  </si>
  <si>
    <t>周波数</t>
    <rPh sb="0" eb="3">
      <t>シュウハスウ</t>
    </rPh>
    <phoneticPr fontId="2"/>
  </si>
  <si>
    <t>S</t>
    <phoneticPr fontId="2"/>
  </si>
  <si>
    <t>ｌ</t>
    <phoneticPr fontId="2"/>
  </si>
  <si>
    <t>1/2fc</t>
    <phoneticPr fontId="2"/>
  </si>
  <si>
    <t>2fc</t>
    <phoneticPr fontId="2"/>
  </si>
  <si>
    <t>Hz</t>
    <phoneticPr fontId="2"/>
  </si>
  <si>
    <t>k</t>
    <phoneticPr fontId="2"/>
  </si>
  <si>
    <t>λc</t>
    <phoneticPr fontId="2"/>
  </si>
  <si>
    <t>S</t>
    <phoneticPr fontId="2"/>
  </si>
  <si>
    <t>λb</t>
    <phoneticPr fontId="2"/>
  </si>
  <si>
    <t>l</t>
    <phoneticPr fontId="2"/>
  </si>
  <si>
    <t>1/1Oct</t>
    <phoneticPr fontId="2"/>
  </si>
  <si>
    <t>10log(k)</t>
    <phoneticPr fontId="2"/>
  </si>
  <si>
    <t>音響放射係数(表:1 計算:2)</t>
    <rPh sb="0" eb="2">
      <t>オンキョウ</t>
    </rPh>
    <rPh sb="2" eb="4">
      <t>ホウシャ</t>
    </rPh>
    <rPh sb="4" eb="6">
      <t>ケイスウ</t>
    </rPh>
    <rPh sb="7" eb="8">
      <t>ヒョウ</t>
    </rPh>
    <rPh sb="11" eb="13">
      <t>ケイサン</t>
    </rPh>
    <phoneticPr fontId="2"/>
  </si>
  <si>
    <t>計算</t>
    <rPh sb="0" eb="2">
      <t>ケイサン</t>
    </rPh>
    <phoneticPr fontId="2"/>
  </si>
  <si>
    <t>表1</t>
    <rPh sb="0" eb="1">
      <t>ヒョウ</t>
    </rPh>
    <phoneticPr fontId="2"/>
  </si>
  <si>
    <t>表2</t>
    <rPh sb="0" eb="1">
      <t>ヒョウ</t>
    </rPh>
    <phoneticPr fontId="2"/>
  </si>
  <si>
    <t>結果</t>
    <rPh sb="0" eb="2">
      <t>ケッカ</t>
    </rPh>
    <phoneticPr fontId="2"/>
  </si>
  <si>
    <r>
      <t>1.</t>
    </r>
    <r>
      <rPr>
        <sz val="8"/>
        <rFont val="ＭＳ Ｐゴシック"/>
        <family val="3"/>
        <charset val="128"/>
      </rPr>
      <t>均質単板スラブ（</t>
    </r>
    <r>
      <rPr>
        <sz val="8"/>
        <rFont val="Arial"/>
        <family val="2"/>
      </rPr>
      <t>RC</t>
    </r>
    <r>
      <rPr>
        <sz val="8"/>
        <rFont val="ＭＳ Ｐゴシック"/>
        <family val="3"/>
        <charset val="128"/>
      </rPr>
      <t>スラブ）</t>
    </r>
    <rPh sb="2" eb="4">
      <t>キンシツ</t>
    </rPh>
    <rPh sb="4" eb="5">
      <t>タン</t>
    </rPh>
    <rPh sb="5" eb="6">
      <t>イタ</t>
    </rPh>
    <phoneticPr fontId="2"/>
  </si>
  <si>
    <r>
      <t>2.</t>
    </r>
    <r>
      <rPr>
        <sz val="8"/>
        <rFont val="ＭＳ Ｐゴシック"/>
        <family val="3"/>
        <charset val="128"/>
      </rPr>
      <t>矩形中空合成スラブ（エスレンボイドスラブ・カイザーボイドスラブなど）</t>
    </r>
    <rPh sb="2" eb="4">
      <t>クケイ</t>
    </rPh>
    <rPh sb="4" eb="6">
      <t>チュウクウ</t>
    </rPh>
    <rPh sb="6" eb="8">
      <t>ゴウセイ</t>
    </rPh>
    <phoneticPr fontId="2"/>
  </si>
  <si>
    <r>
      <t>3.</t>
    </r>
    <r>
      <rPr>
        <sz val="8"/>
        <rFont val="ＭＳ Ｐゴシック"/>
        <family val="3"/>
        <charset val="128"/>
      </rPr>
      <t>穴あき</t>
    </r>
    <r>
      <rPr>
        <sz val="8"/>
        <rFont val="Arial"/>
        <family val="2"/>
      </rPr>
      <t>PC</t>
    </r>
    <r>
      <rPr>
        <sz val="8"/>
        <rFont val="ＭＳ Ｐゴシック"/>
        <family val="3"/>
        <charset val="128"/>
      </rPr>
      <t>板合成スラブ（スパンクリートなど）</t>
    </r>
    <rPh sb="2" eb="3">
      <t>アナ</t>
    </rPh>
    <rPh sb="7" eb="8">
      <t>イタ</t>
    </rPh>
    <rPh sb="8" eb="10">
      <t>ゴウセイ</t>
    </rPh>
    <phoneticPr fontId="2"/>
  </si>
  <si>
    <r>
      <t>4.</t>
    </r>
    <r>
      <rPr>
        <sz val="8"/>
        <rFont val="ＭＳ Ｐゴシック"/>
        <family val="3"/>
        <charset val="128"/>
      </rPr>
      <t>ハーフ</t>
    </r>
    <r>
      <rPr>
        <sz val="8"/>
        <rFont val="Arial"/>
        <family val="2"/>
      </rPr>
      <t>PCa</t>
    </r>
    <r>
      <rPr>
        <sz val="8"/>
        <rFont val="ＭＳ Ｐゴシック"/>
        <family val="3"/>
        <charset val="128"/>
      </rPr>
      <t>合成スラブ（</t>
    </r>
    <r>
      <rPr>
        <sz val="8"/>
        <rFont val="Arial"/>
        <family val="2"/>
      </rPr>
      <t>PCa</t>
    </r>
    <r>
      <rPr>
        <sz val="8"/>
        <rFont val="ＭＳ Ｐゴシック"/>
        <family val="3"/>
        <charset val="128"/>
      </rPr>
      <t>板</t>
    </r>
    <r>
      <rPr>
        <sz val="8"/>
        <rFont val="Arial"/>
        <family val="2"/>
      </rPr>
      <t>+</t>
    </r>
    <r>
      <rPr>
        <sz val="8"/>
        <rFont val="ＭＳ Ｐゴシック"/>
        <family val="3"/>
        <charset val="128"/>
      </rPr>
      <t>現場まし打ちボイドなし）</t>
    </r>
    <rPh sb="8" eb="10">
      <t>ゴウセイ</t>
    </rPh>
    <rPh sb="17" eb="18">
      <t>イタ</t>
    </rPh>
    <rPh sb="19" eb="21">
      <t>ゲンバ</t>
    </rPh>
    <rPh sb="23" eb="24">
      <t>ウ</t>
    </rPh>
    <phoneticPr fontId="2"/>
  </si>
  <si>
    <r>
      <t>5.</t>
    </r>
    <r>
      <rPr>
        <sz val="8"/>
        <rFont val="ＭＳ Ｐゴシック"/>
        <family val="3"/>
        <charset val="128"/>
      </rPr>
      <t>円形中空スラブ（円形ボイド</t>
    </r>
    <r>
      <rPr>
        <sz val="8"/>
        <rFont val="Arial"/>
        <family val="2"/>
      </rPr>
      <t>+</t>
    </r>
    <r>
      <rPr>
        <sz val="8"/>
        <rFont val="ＭＳ Ｐゴシック"/>
        <family val="3"/>
        <charset val="128"/>
      </rPr>
      <t>すべて現場打ち）</t>
    </r>
    <rPh sb="2" eb="4">
      <t>エンケイ</t>
    </rPh>
    <rPh sb="4" eb="6">
      <t>チュウクウ</t>
    </rPh>
    <rPh sb="10" eb="12">
      <t>エンケイ</t>
    </rPh>
    <rPh sb="19" eb="21">
      <t>ゲンバ</t>
    </rPh>
    <rPh sb="21" eb="22">
      <t>ウ</t>
    </rPh>
    <phoneticPr fontId="2"/>
  </si>
  <si>
    <r>
      <t>6.</t>
    </r>
    <r>
      <rPr>
        <sz val="8"/>
        <rFont val="ＭＳ Ｐゴシック"/>
        <family val="3"/>
        <charset val="128"/>
      </rPr>
      <t>波型中空合成スラブ</t>
    </r>
    <rPh sb="2" eb="4">
      <t>ナミガタ</t>
    </rPh>
    <rPh sb="4" eb="6">
      <t>チュウクウ</t>
    </rPh>
    <rPh sb="6" eb="8">
      <t>ゴウセイ</t>
    </rPh>
    <phoneticPr fontId="2"/>
  </si>
  <si>
    <r>
      <t>7.</t>
    </r>
    <r>
      <rPr>
        <sz val="8"/>
        <rFont val="ＭＳ Ｐゴシック"/>
        <family val="3"/>
        <charset val="128"/>
      </rPr>
      <t>波型中空スラブ</t>
    </r>
    <rPh sb="2" eb="4">
      <t>ナミガタ</t>
    </rPh>
    <rPh sb="4" eb="6">
      <t>チュウクウ</t>
    </rPh>
    <phoneticPr fontId="2"/>
  </si>
  <si>
    <t>梁せい</t>
    <rPh sb="0" eb="1">
      <t>ハリ</t>
    </rPh>
    <phoneticPr fontId="2"/>
  </si>
  <si>
    <r>
      <t>x/λb</t>
    </r>
    <r>
      <rPr>
        <sz val="8"/>
        <rFont val="ＭＳ Ｐゴシック"/>
        <family val="3"/>
        <charset val="128"/>
      </rPr>
      <t>（</t>
    </r>
    <r>
      <rPr>
        <sz val="8"/>
        <rFont val="Arial"/>
        <family val="2"/>
      </rPr>
      <t>63Hz</t>
    </r>
    <r>
      <rPr>
        <sz val="8"/>
        <rFont val="ＭＳ Ｐゴシック"/>
        <family val="3"/>
        <charset val="128"/>
      </rPr>
      <t>）</t>
    </r>
    <phoneticPr fontId="2"/>
  </si>
  <si>
    <r>
      <t>x/λb</t>
    </r>
    <r>
      <rPr>
        <sz val="8"/>
        <rFont val="ＭＳ Ｐゴシック"/>
        <family val="3"/>
        <charset val="128"/>
      </rPr>
      <t>（</t>
    </r>
    <r>
      <rPr>
        <sz val="8"/>
        <rFont val="Arial"/>
        <family val="2"/>
      </rPr>
      <t>125Hz</t>
    </r>
    <r>
      <rPr>
        <sz val="8"/>
        <rFont val="ＭＳ Ｐゴシック"/>
        <family val="3"/>
        <charset val="128"/>
      </rPr>
      <t>）</t>
    </r>
    <phoneticPr fontId="2"/>
  </si>
  <si>
    <r>
      <t>x/λb</t>
    </r>
    <r>
      <rPr>
        <sz val="8"/>
        <rFont val="ＭＳ Ｐゴシック"/>
        <family val="3"/>
        <charset val="128"/>
      </rPr>
      <t>（</t>
    </r>
    <r>
      <rPr>
        <sz val="8"/>
        <rFont val="Arial"/>
        <family val="2"/>
      </rPr>
      <t>250Hz</t>
    </r>
    <r>
      <rPr>
        <sz val="8"/>
        <rFont val="ＭＳ Ｐゴシック"/>
        <family val="3"/>
        <charset val="128"/>
      </rPr>
      <t>）</t>
    </r>
    <phoneticPr fontId="2"/>
  </si>
  <si>
    <r>
      <t>x/λb</t>
    </r>
    <r>
      <rPr>
        <sz val="8"/>
        <rFont val="ＭＳ Ｐゴシック"/>
        <family val="3"/>
        <charset val="128"/>
      </rPr>
      <t>（</t>
    </r>
    <r>
      <rPr>
        <sz val="8"/>
        <rFont val="Arial"/>
        <family val="2"/>
      </rPr>
      <t>500Hz</t>
    </r>
    <r>
      <rPr>
        <sz val="8"/>
        <rFont val="ＭＳ Ｐゴシック"/>
        <family val="3"/>
        <charset val="128"/>
      </rPr>
      <t>）</t>
    </r>
    <phoneticPr fontId="2"/>
  </si>
  <si>
    <t>S1</t>
    <phoneticPr fontId="2"/>
  </si>
  <si>
    <t>S2</t>
    <phoneticPr fontId="2"/>
  </si>
  <si>
    <t>S3</t>
    <phoneticPr fontId="2"/>
  </si>
  <si>
    <t>S4</t>
    <phoneticPr fontId="2"/>
  </si>
  <si>
    <t>S5</t>
    <phoneticPr fontId="2"/>
  </si>
  <si>
    <t>S5</t>
    <phoneticPr fontId="2"/>
  </si>
  <si>
    <t>床スラブ内の振動減衰補正量</t>
    <rPh sb="0" eb="1">
      <t>ユカ</t>
    </rPh>
    <rPh sb="4" eb="5">
      <t>ナイ</t>
    </rPh>
    <rPh sb="6" eb="8">
      <t>シンドウ</t>
    </rPh>
    <rPh sb="8" eb="10">
      <t>ゲンスイ</t>
    </rPh>
    <rPh sb="10" eb="12">
      <t>ホセイ</t>
    </rPh>
    <rPh sb="12" eb="13">
      <t>リョウ</t>
    </rPh>
    <phoneticPr fontId="2"/>
  </si>
  <si>
    <t>⑬コンクリート床スラブ厚による変数</t>
    <rPh sb="7" eb="8">
      <t>ユカ</t>
    </rPh>
    <rPh sb="11" eb="12">
      <t>アツ</t>
    </rPh>
    <rPh sb="15" eb="17">
      <t>ヘンスウ</t>
    </rPh>
    <phoneticPr fontId="2"/>
  </si>
  <si>
    <t>40㎡未満</t>
    <rPh sb="3" eb="5">
      <t>ミマン</t>
    </rPh>
    <phoneticPr fontId="2"/>
  </si>
  <si>
    <t>40㎡以上70㎡未満</t>
    <rPh sb="3" eb="5">
      <t>イジョウ</t>
    </rPh>
    <rPh sb="8" eb="10">
      <t>ミマン</t>
    </rPh>
    <phoneticPr fontId="2"/>
  </si>
  <si>
    <t>70㎡以上</t>
    <rPh sb="2" eb="5">
      <t>ヘイベイイジョウ</t>
    </rPh>
    <phoneticPr fontId="2"/>
  </si>
  <si>
    <r>
      <t>⊿L</t>
    </r>
    <r>
      <rPr>
        <sz val="6"/>
        <rFont val="ＭＳ Ｐゴシック"/>
        <family val="3"/>
        <charset val="128"/>
      </rPr>
      <t>D</t>
    </r>
    <phoneticPr fontId="2"/>
  </si>
  <si>
    <t>オクターブバンド中心周波数(Hz)</t>
    <rPh sb="8" eb="10">
      <t>チュウシン</t>
    </rPh>
    <rPh sb="10" eb="13">
      <t>シュウハスウ</t>
    </rPh>
    <phoneticPr fontId="2"/>
  </si>
  <si>
    <t>有効放射面積を計算して入力(㎡)</t>
    <rPh sb="0" eb="2">
      <t>ユウコウ</t>
    </rPh>
    <rPh sb="2" eb="4">
      <t>ホウシャ</t>
    </rPh>
    <rPh sb="4" eb="6">
      <t>メンセキ</t>
    </rPh>
    <rPh sb="7" eb="9">
      <t>ケイサン</t>
    </rPh>
    <rPh sb="11" eb="13">
      <t>ニュウリョク</t>
    </rPh>
    <phoneticPr fontId="2"/>
  </si>
  <si>
    <r>
      <t>JIS A 1418 -2 (2)</t>
    </r>
    <r>
      <rPr>
        <sz val="8"/>
        <rFont val="ＭＳ Ｐゴシック"/>
        <family val="3"/>
        <charset val="128"/>
      </rPr>
      <t>　ボール</t>
    </r>
    <phoneticPr fontId="2"/>
  </si>
  <si>
    <r>
      <t>JIS A 1418 -2 (1)</t>
    </r>
    <r>
      <rPr>
        <sz val="8"/>
        <rFont val="ＭＳ Ｐゴシック"/>
        <family val="3"/>
        <charset val="128"/>
      </rPr>
      <t>　タイヤ</t>
    </r>
    <phoneticPr fontId="2"/>
  </si>
  <si>
    <r>
      <t>選択　</t>
    </r>
    <r>
      <rPr>
        <sz val="8"/>
        <rFont val="Arial"/>
        <family val="2"/>
      </rPr>
      <t>1.</t>
    </r>
    <r>
      <rPr>
        <sz val="8"/>
        <rFont val="ＭＳ Ｐゴシック"/>
        <family val="3"/>
        <charset val="128"/>
      </rPr>
      <t>「建物の遮音設計資料」、</t>
    </r>
    <r>
      <rPr>
        <sz val="8"/>
        <rFont val="Arial"/>
        <family val="2"/>
      </rPr>
      <t>2.JIS A 1418</t>
    </r>
    <r>
      <rPr>
        <sz val="8"/>
        <rFont val="ＭＳ Ｐゴシック"/>
        <family val="3"/>
        <charset val="128"/>
      </rPr>
      <t>（タイヤ）、</t>
    </r>
    <r>
      <rPr>
        <sz val="8"/>
        <rFont val="Arial"/>
        <family val="2"/>
      </rPr>
      <t>3.JIS A 1418</t>
    </r>
    <r>
      <rPr>
        <sz val="8"/>
        <rFont val="ＭＳ Ｐゴシック"/>
        <family val="3"/>
        <charset val="128"/>
      </rPr>
      <t>（ボール）</t>
    </r>
    <rPh sb="0" eb="2">
      <t>センタク</t>
    </rPh>
    <rPh sb="6" eb="8">
      <t>タテモノ</t>
    </rPh>
    <rPh sb="9" eb="11">
      <t>シャオン</t>
    </rPh>
    <rPh sb="11" eb="13">
      <t>セッケイ</t>
    </rPh>
    <rPh sb="13" eb="15">
      <t>シリョウ</t>
    </rPh>
    <phoneticPr fontId="2"/>
  </si>
  <si>
    <t>「インピーダンス法2009」</t>
    <rPh sb="8" eb="9">
      <t>ホウ</t>
    </rPh>
    <phoneticPr fontId="2"/>
  </si>
  <si>
    <t>f0　周波数領域</t>
  </si>
  <si>
    <t>Hz帯域</t>
    <rPh sb="2" eb="4">
      <t>タイイキ</t>
    </rPh>
    <phoneticPr fontId="2"/>
  </si>
  <si>
    <t>31.5Hz</t>
    <phoneticPr fontId="2"/>
  </si>
  <si>
    <t>63Hz</t>
    <phoneticPr fontId="2"/>
  </si>
  <si>
    <t>125Hz</t>
    <phoneticPr fontId="2"/>
  </si>
  <si>
    <t>250Hz</t>
    <phoneticPr fontId="2"/>
  </si>
  <si>
    <t>500Hz</t>
    <phoneticPr fontId="2"/>
  </si>
  <si>
    <t>31.5Hz</t>
    <phoneticPr fontId="2"/>
  </si>
  <si>
    <t>63Hz</t>
    <phoneticPr fontId="2"/>
  </si>
  <si>
    <t>125Hz</t>
    <phoneticPr fontId="2"/>
  </si>
  <si>
    <t>250Hz</t>
    <phoneticPr fontId="2"/>
  </si>
  <si>
    <t>500Hz</t>
    <phoneticPr fontId="2"/>
  </si>
  <si>
    <t>重量床衝撃音レベル予測結果</t>
    <rPh sb="0" eb="2">
      <t>ジュウリョウ</t>
    </rPh>
    <rPh sb="2" eb="3">
      <t>ユカ</t>
    </rPh>
    <rPh sb="3" eb="5">
      <t>ショウゲキ</t>
    </rPh>
    <rPh sb="5" eb="6">
      <t>オン</t>
    </rPh>
    <rPh sb="9" eb="11">
      <t>ヨソク</t>
    </rPh>
    <rPh sb="11" eb="13">
      <t>ケッカ</t>
    </rPh>
    <phoneticPr fontId="2"/>
  </si>
  <si>
    <t>種別</t>
    <rPh sb="0" eb="2">
      <t>シュベツ</t>
    </rPh>
    <phoneticPr fontId="2"/>
  </si>
  <si>
    <t>吸音率</t>
    <rPh sb="0" eb="2">
      <t>キュウオン</t>
    </rPh>
    <rPh sb="2" eb="3">
      <t>リツ</t>
    </rPh>
    <phoneticPr fontId="2"/>
  </si>
  <si>
    <t>63Hz</t>
    <phoneticPr fontId="2"/>
  </si>
  <si>
    <t>125Hz</t>
    <phoneticPr fontId="2"/>
  </si>
  <si>
    <t>250Hz</t>
    <phoneticPr fontId="2"/>
  </si>
  <si>
    <t>500Hz</t>
    <phoneticPr fontId="2"/>
  </si>
  <si>
    <t>1kHz</t>
    <phoneticPr fontId="2"/>
  </si>
  <si>
    <t>2kHz</t>
    <phoneticPr fontId="2"/>
  </si>
  <si>
    <t>⑥受音室条件の入力</t>
    <rPh sb="1" eb="2">
      <t>ジュ</t>
    </rPh>
    <rPh sb="2" eb="3">
      <t>オン</t>
    </rPh>
    <rPh sb="3" eb="4">
      <t>シツ</t>
    </rPh>
    <rPh sb="4" eb="6">
      <t>ジョウケン</t>
    </rPh>
    <rPh sb="7" eb="9">
      <t>ニュウリョク</t>
    </rPh>
    <phoneticPr fontId="2"/>
  </si>
  <si>
    <t>⑤有効放射面積の入力</t>
    <rPh sb="1" eb="3">
      <t>ユウコウ</t>
    </rPh>
    <rPh sb="3" eb="5">
      <t>ホウシャ</t>
    </rPh>
    <rPh sb="5" eb="7">
      <t>メンセキ</t>
    </rPh>
    <rPh sb="8" eb="10">
      <t>ニュウリョク</t>
    </rPh>
    <phoneticPr fontId="2"/>
  </si>
  <si>
    <t>加振点</t>
    <rPh sb="0" eb="1">
      <t>カ</t>
    </rPh>
    <rPh sb="1" eb="2">
      <t>シン</t>
    </rPh>
    <rPh sb="2" eb="3">
      <t>テン</t>
    </rPh>
    <phoneticPr fontId="2"/>
  </si>
  <si>
    <r>
      <t>⑫床スラブの</t>
    </r>
    <r>
      <rPr>
        <sz val="10"/>
        <rFont val="Arial"/>
        <family val="2"/>
      </rPr>
      <t>60dB</t>
    </r>
    <r>
      <rPr>
        <sz val="10"/>
        <rFont val="ＭＳ Ｐゴシック"/>
        <family val="3"/>
        <charset val="128"/>
      </rPr>
      <t>減衰時間</t>
    </r>
    <r>
      <rPr>
        <sz val="10"/>
        <rFont val="Arial"/>
        <family val="2"/>
      </rPr>
      <t>T60</t>
    </r>
    <rPh sb="1" eb="2">
      <t>ユカ</t>
    </rPh>
    <rPh sb="10" eb="12">
      <t>ゲンスイ</t>
    </rPh>
    <rPh sb="12" eb="14">
      <t>ジカン</t>
    </rPh>
    <phoneticPr fontId="2"/>
  </si>
  <si>
    <t>曲げ波の波長の算出</t>
    <rPh sb="0" eb="1">
      <t>マ</t>
    </rPh>
    <rPh sb="2" eb="3">
      <t>ナミ</t>
    </rPh>
    <rPh sb="4" eb="6">
      <t>ハチョウ</t>
    </rPh>
    <rPh sb="7" eb="9">
      <t>サンシュツ</t>
    </rPh>
    <phoneticPr fontId="2"/>
  </si>
  <si>
    <t>①衝撃力レベルの選択</t>
    <rPh sb="1" eb="4">
      <t>ショウゲキリョク</t>
    </rPh>
    <rPh sb="8" eb="10">
      <t>センタク</t>
    </rPh>
    <phoneticPr fontId="2"/>
  </si>
  <si>
    <t>②等価スラブ厚さ・等価密度・等価ヤング率の計算</t>
    <rPh sb="1" eb="3">
      <t>トウカ</t>
    </rPh>
    <rPh sb="6" eb="7">
      <t>アツ</t>
    </rPh>
    <rPh sb="9" eb="11">
      <t>トウカ</t>
    </rPh>
    <rPh sb="11" eb="13">
      <t>ミツド</t>
    </rPh>
    <rPh sb="14" eb="16">
      <t>トウカ</t>
    </rPh>
    <rPh sb="19" eb="20">
      <t>リツ</t>
    </rPh>
    <rPh sb="21" eb="23">
      <t>ケイサン</t>
    </rPh>
    <phoneticPr fontId="2"/>
  </si>
  <si>
    <t>③基本インピーダンスレベルの算出</t>
    <rPh sb="1" eb="3">
      <t>キホン</t>
    </rPh>
    <rPh sb="14" eb="16">
      <t>サンシュツ</t>
    </rPh>
    <phoneticPr fontId="2"/>
  </si>
  <si>
    <t>④加振点別インピーダンスレベル上昇量の算出</t>
    <rPh sb="1" eb="2">
      <t>カ</t>
    </rPh>
    <rPh sb="2" eb="3">
      <t>シン</t>
    </rPh>
    <rPh sb="3" eb="4">
      <t>テン</t>
    </rPh>
    <rPh sb="4" eb="5">
      <t>ベツ</t>
    </rPh>
    <rPh sb="15" eb="17">
      <t>ジョウショウ</t>
    </rPh>
    <rPh sb="17" eb="18">
      <t>リョウ</t>
    </rPh>
    <rPh sb="19" eb="21">
      <t>サンシュツ</t>
    </rPh>
    <phoneticPr fontId="2"/>
  </si>
  <si>
    <t>⑤共振によるインピーダンス補正量の算出</t>
    <rPh sb="1" eb="3">
      <t>キョウシン</t>
    </rPh>
    <rPh sb="13" eb="15">
      <t>ホセイ</t>
    </rPh>
    <rPh sb="15" eb="16">
      <t>リョウ</t>
    </rPh>
    <rPh sb="17" eb="19">
      <t>サンシュツ</t>
    </rPh>
    <phoneticPr fontId="2"/>
  </si>
  <si>
    <t>⑦床スラブ内の振動減衰補正量</t>
    <rPh sb="1" eb="2">
      <t>ユカ</t>
    </rPh>
    <rPh sb="5" eb="6">
      <t>ナイ</t>
    </rPh>
    <rPh sb="7" eb="9">
      <t>シンドウ</t>
    </rPh>
    <rPh sb="9" eb="11">
      <t>ゲンスイ</t>
    </rPh>
    <rPh sb="11" eb="13">
      <t>ホセイ</t>
    </rPh>
    <rPh sb="13" eb="14">
      <t>リョウ</t>
    </rPh>
    <phoneticPr fontId="2"/>
  </si>
  <si>
    <t>⑧有効放射面積の算出</t>
    <rPh sb="1" eb="3">
      <t>ユウコウ</t>
    </rPh>
    <rPh sb="3" eb="5">
      <t>ホウシャ</t>
    </rPh>
    <rPh sb="5" eb="7">
      <t>メンセキ</t>
    </rPh>
    <rPh sb="8" eb="10">
      <t>サンシュツ</t>
    </rPh>
    <phoneticPr fontId="2"/>
  </si>
  <si>
    <t>⑨音響放射係数の算出</t>
    <rPh sb="1" eb="3">
      <t>オンキョウ</t>
    </rPh>
    <rPh sb="3" eb="5">
      <t>ホウシャ</t>
    </rPh>
    <rPh sb="5" eb="7">
      <t>ケイスウ</t>
    </rPh>
    <rPh sb="8" eb="10">
      <t>サンシュツ</t>
    </rPh>
    <phoneticPr fontId="2"/>
  </si>
  <si>
    <t>⑩受音室吸音力の算出</t>
    <rPh sb="1" eb="2">
      <t>ジュ</t>
    </rPh>
    <rPh sb="2" eb="3">
      <t>オン</t>
    </rPh>
    <rPh sb="3" eb="4">
      <t>シツ</t>
    </rPh>
    <rPh sb="4" eb="6">
      <t>キュウオン</t>
    </rPh>
    <rPh sb="6" eb="7">
      <t>リョク</t>
    </rPh>
    <rPh sb="8" eb="10">
      <t>サンシュツ</t>
    </rPh>
    <phoneticPr fontId="2"/>
  </si>
  <si>
    <r>
      <t>⑪騒音計の動特性</t>
    </r>
    <r>
      <rPr>
        <sz val="10"/>
        <rFont val="Arial"/>
        <family val="2"/>
      </rPr>
      <t>Fast</t>
    </r>
    <r>
      <rPr>
        <sz val="10"/>
        <rFont val="ＭＳ Ｐゴシック"/>
        <family val="3"/>
        <charset val="128"/>
      </rPr>
      <t>に対する補正量</t>
    </r>
    <rPh sb="1" eb="3">
      <t>ソウオン</t>
    </rPh>
    <rPh sb="3" eb="4">
      <t>ケイ</t>
    </rPh>
    <rPh sb="5" eb="8">
      <t>ドウトクセイ</t>
    </rPh>
    <rPh sb="13" eb="14">
      <t>タイ</t>
    </rPh>
    <rPh sb="16" eb="18">
      <t>ホセイ</t>
    </rPh>
    <rPh sb="18" eb="19">
      <t>リョウ</t>
    </rPh>
    <phoneticPr fontId="2"/>
  </si>
  <si>
    <t>⑨音響放射係数の算出【計算】</t>
    <rPh sb="1" eb="3">
      <t>オンキョウ</t>
    </rPh>
    <rPh sb="3" eb="5">
      <t>ホウシャ</t>
    </rPh>
    <rPh sb="5" eb="7">
      <t>ケイスウ</t>
    </rPh>
    <rPh sb="8" eb="10">
      <t>サンシュツ</t>
    </rPh>
    <rPh sb="11" eb="13">
      <t>ケイサン</t>
    </rPh>
    <phoneticPr fontId="2"/>
  </si>
  <si>
    <t>サウンドレベルメータの動特性補正量</t>
    <rPh sb="11" eb="14">
      <t>ドウトクセイ</t>
    </rPh>
    <rPh sb="14" eb="16">
      <t>ホセイ</t>
    </rPh>
    <rPh sb="16" eb="17">
      <t>リョウ</t>
    </rPh>
    <phoneticPr fontId="2"/>
  </si>
  <si>
    <t>x方向寸法</t>
    <rPh sb="1" eb="3">
      <t>ホウコウ</t>
    </rPh>
    <rPh sb="3" eb="5">
      <t>スンポウ</t>
    </rPh>
    <phoneticPr fontId="2"/>
  </si>
  <si>
    <t>y方向寸法</t>
    <rPh sb="1" eb="3">
      <t>ホウコウ</t>
    </rPh>
    <rPh sb="3" eb="5">
      <t>スンポウ</t>
    </rPh>
    <phoneticPr fontId="2"/>
  </si>
  <si>
    <t>hC</t>
    <phoneticPr fontId="2"/>
  </si>
  <si>
    <t>建築学会式</t>
    <rPh sb="0" eb="2">
      <t>ケンチク</t>
    </rPh>
    <rPh sb="2" eb="4">
      <t>ガッカイ</t>
    </rPh>
    <rPh sb="4" eb="5">
      <t>シキ</t>
    </rPh>
    <phoneticPr fontId="2"/>
  </si>
  <si>
    <t>音響放射係数レベル</t>
    <rPh sb="0" eb="2">
      <t>オンキョウ</t>
    </rPh>
    <rPh sb="2" eb="4">
      <t>ホウシャ</t>
    </rPh>
    <rPh sb="4" eb="6">
      <t>ケイスウ</t>
    </rPh>
    <phoneticPr fontId="2"/>
  </si>
  <si>
    <t>重量床衝撃音レベル予測計算結果（スラブ素面）</t>
    <rPh sb="0" eb="2">
      <t>ジュウリョウ</t>
    </rPh>
    <rPh sb="2" eb="3">
      <t>ユカ</t>
    </rPh>
    <rPh sb="3" eb="5">
      <t>ショウゲキ</t>
    </rPh>
    <rPh sb="5" eb="6">
      <t>オン</t>
    </rPh>
    <rPh sb="9" eb="11">
      <t>ヨソク</t>
    </rPh>
    <rPh sb="11" eb="13">
      <t>ケイサン</t>
    </rPh>
    <rPh sb="13" eb="15">
      <t>ケッカ</t>
    </rPh>
    <rPh sb="19" eb="20">
      <t>ソ</t>
    </rPh>
    <rPh sb="20" eb="21">
      <t>メン</t>
    </rPh>
    <phoneticPr fontId="2"/>
  </si>
  <si>
    <t>予測対象建物</t>
    <rPh sb="0" eb="2">
      <t>ヨソク</t>
    </rPh>
    <rPh sb="2" eb="4">
      <t>タイショウ</t>
    </rPh>
    <rPh sb="4" eb="6">
      <t>タテモノ</t>
    </rPh>
    <phoneticPr fontId="2"/>
  </si>
  <si>
    <t>④加振点位置の入力（梁からの距離）</t>
    <rPh sb="1" eb="2">
      <t>カ</t>
    </rPh>
    <rPh sb="2" eb="3">
      <t>シン</t>
    </rPh>
    <rPh sb="3" eb="4">
      <t>テン</t>
    </rPh>
    <rPh sb="4" eb="6">
      <t>イチ</t>
    </rPh>
    <rPh sb="7" eb="9">
      <t>ニュウリョク</t>
    </rPh>
    <rPh sb="10" eb="11">
      <t>ハリ</t>
    </rPh>
    <rPh sb="14" eb="16">
      <t>キョリ</t>
    </rPh>
    <phoneticPr fontId="2"/>
  </si>
  <si>
    <t>大型スラブ式（大脇・山下式2012）</t>
    <phoneticPr fontId="2"/>
  </si>
  <si>
    <t>有効放射面積の計算で除かれるスラブ端部からの距離（m）</t>
    <rPh sb="0" eb="2">
      <t>ユウコウ</t>
    </rPh>
    <rPh sb="2" eb="4">
      <t>ホウシャ</t>
    </rPh>
    <rPh sb="4" eb="6">
      <t>メンセキ</t>
    </rPh>
    <rPh sb="7" eb="9">
      <t>ケイサン</t>
    </rPh>
    <rPh sb="10" eb="11">
      <t>ノゾ</t>
    </rPh>
    <rPh sb="17" eb="18">
      <t>タン</t>
    </rPh>
    <rPh sb="18" eb="19">
      <t>ブ</t>
    </rPh>
    <rPh sb="22" eb="24">
      <t>キョリ</t>
    </rPh>
    <phoneticPr fontId="2"/>
  </si>
  <si>
    <r>
      <t>L</t>
    </r>
    <r>
      <rPr>
        <b/>
        <sz val="14"/>
        <color indexed="9"/>
        <rFont val="ＭＳ Ｐゴシック"/>
        <family val="3"/>
        <charset val="128"/>
      </rPr>
      <t>数</t>
    </r>
    <rPh sb="1" eb="2">
      <t>スウ</t>
    </rPh>
    <phoneticPr fontId="2"/>
  </si>
  <si>
    <t>m</t>
    <phoneticPr fontId="2"/>
  </si>
  <si>
    <t>mm</t>
    <phoneticPr fontId="2"/>
  </si>
  <si>
    <t>※この予測結果は，品確法による評価ではありません。</t>
    <phoneticPr fontId="2"/>
  </si>
  <si>
    <t>※計算はスラブ素面加振時を想定しており、天井や床仕上げ材による影響は定量化しにくいため，考慮していません。</t>
    <rPh sb="1" eb="3">
      <t>ケイサン</t>
    </rPh>
    <rPh sb="7" eb="9">
      <t>ソメン</t>
    </rPh>
    <rPh sb="9" eb="10">
      <t>カ</t>
    </rPh>
    <rPh sb="10" eb="11">
      <t>オサム</t>
    </rPh>
    <rPh sb="11" eb="12">
      <t>トキ</t>
    </rPh>
    <rPh sb="13" eb="15">
      <t>ソウテイ</t>
    </rPh>
    <rPh sb="20" eb="22">
      <t>テンジョウ</t>
    </rPh>
    <rPh sb="23" eb="24">
      <t>ユカ</t>
    </rPh>
    <rPh sb="24" eb="26">
      <t>シア</t>
    </rPh>
    <rPh sb="27" eb="28">
      <t>ザイ</t>
    </rPh>
    <rPh sb="31" eb="33">
      <t>エイキョウ</t>
    </rPh>
    <rPh sb="34" eb="37">
      <t>テイリョウカ</t>
    </rPh>
    <rPh sb="44" eb="46">
      <t>コウリョ</t>
    </rPh>
    <phoneticPr fontId="2"/>
  </si>
  <si>
    <t>※計算値は，実測値に対して±5dBの範囲に分布します。</t>
    <phoneticPr fontId="2"/>
  </si>
  <si>
    <t>：</t>
    <phoneticPr fontId="2"/>
  </si>
  <si>
    <r>
      <t>m</t>
    </r>
    <r>
      <rPr>
        <vertAlign val="superscript"/>
        <sz val="11"/>
        <rFont val="Arial"/>
        <family val="2"/>
      </rPr>
      <t>2</t>
    </r>
    <phoneticPr fontId="2"/>
  </si>
  <si>
    <t>mm</t>
    <phoneticPr fontId="2"/>
  </si>
  <si>
    <t>mm</t>
    <phoneticPr fontId="2"/>
  </si>
  <si>
    <t>mm</t>
    <phoneticPr fontId="2"/>
  </si>
  <si>
    <r>
      <t>m</t>
    </r>
    <r>
      <rPr>
        <vertAlign val="superscript"/>
        <sz val="11"/>
        <rFont val="Arial"/>
        <family val="2"/>
      </rPr>
      <t>2</t>
    </r>
    <phoneticPr fontId="2"/>
  </si>
  <si>
    <t>63Hz</t>
    <phoneticPr fontId="2"/>
  </si>
  <si>
    <t>125Hz</t>
    <phoneticPr fontId="2"/>
  </si>
  <si>
    <t>250Hz</t>
    <phoneticPr fontId="2"/>
  </si>
  <si>
    <t>500Hz</t>
    <phoneticPr fontId="2"/>
  </si>
  <si>
    <t>1kHz</t>
    <phoneticPr fontId="2"/>
  </si>
  <si>
    <r>
      <t>1</t>
    </r>
    <r>
      <rPr>
        <sz val="11"/>
        <rFont val="ＭＳ Ｐゴシック"/>
        <family val="3"/>
        <charset val="128"/>
      </rPr>
      <t>次固有振動数：</t>
    </r>
    <rPh sb="1" eb="2">
      <t>ジ</t>
    </rPh>
    <rPh sb="2" eb="4">
      <t>コユウ</t>
    </rPh>
    <rPh sb="4" eb="7">
      <t>シンドウスウ</t>
    </rPh>
    <phoneticPr fontId="2"/>
  </si>
  <si>
    <t xml:space="preserve">Hz </t>
    <phoneticPr fontId="2"/>
  </si>
  <si>
    <t>加振点別床スラブの
インピーダンスレベル</t>
    <rPh sb="0" eb="1">
      <t>カ</t>
    </rPh>
    <rPh sb="1" eb="2">
      <t>シン</t>
    </rPh>
    <rPh sb="2" eb="3">
      <t>テン</t>
    </rPh>
    <rPh sb="3" eb="4">
      <t>ベツ</t>
    </rPh>
    <rPh sb="4" eb="5">
      <t>ユカ</t>
    </rPh>
    <phoneticPr fontId="2"/>
  </si>
  <si>
    <t>加振点別インピーダンス
レベル上昇量</t>
    <rPh sb="0" eb="1">
      <t>カ</t>
    </rPh>
    <rPh sb="1" eb="2">
      <t>シン</t>
    </rPh>
    <rPh sb="2" eb="3">
      <t>テン</t>
    </rPh>
    <rPh sb="3" eb="4">
      <t>ベツ</t>
    </rPh>
    <rPh sb="15" eb="17">
      <t>ジョウショウ</t>
    </rPh>
    <rPh sb="17" eb="18">
      <t>リョウ</t>
    </rPh>
    <phoneticPr fontId="2"/>
  </si>
  <si>
    <t>軽量床衝撃音レベル予測計算結果（スラブ素面）</t>
    <rPh sb="0" eb="2">
      <t>ケイリョウ</t>
    </rPh>
    <rPh sb="2" eb="3">
      <t>ユカ</t>
    </rPh>
    <rPh sb="3" eb="5">
      <t>ショウゲキ</t>
    </rPh>
    <rPh sb="5" eb="6">
      <t>オン</t>
    </rPh>
    <rPh sb="9" eb="11">
      <t>ヨソク</t>
    </rPh>
    <rPh sb="11" eb="13">
      <t>ケイサン</t>
    </rPh>
    <rPh sb="13" eb="15">
      <t>ケッカ</t>
    </rPh>
    <rPh sb="19" eb="20">
      <t>ソ</t>
    </rPh>
    <rPh sb="20" eb="21">
      <t>メン</t>
    </rPh>
    <phoneticPr fontId="2"/>
  </si>
  <si>
    <t>：</t>
    <phoneticPr fontId="2"/>
  </si>
  <si>
    <t>：</t>
    <phoneticPr fontId="2"/>
  </si>
  <si>
    <t>mm</t>
    <phoneticPr fontId="2"/>
  </si>
  <si>
    <r>
      <t>m</t>
    </r>
    <r>
      <rPr>
        <vertAlign val="superscript"/>
        <sz val="11"/>
        <rFont val="Arial"/>
        <family val="2"/>
      </rPr>
      <t>2</t>
    </r>
    <phoneticPr fontId="2"/>
  </si>
  <si>
    <t>63Hz</t>
    <phoneticPr fontId="2"/>
  </si>
  <si>
    <t>125Hz</t>
    <phoneticPr fontId="2"/>
  </si>
  <si>
    <t>250Hz</t>
    <phoneticPr fontId="2"/>
  </si>
  <si>
    <t>2kHz</t>
    <phoneticPr fontId="2"/>
  </si>
  <si>
    <t xml:space="preserve">Hz </t>
    <phoneticPr fontId="2"/>
  </si>
  <si>
    <t>予測対象居室情報</t>
    <rPh sb="0" eb="2">
      <t>ヨソク</t>
    </rPh>
    <rPh sb="2" eb="4">
      <t>タイショウ</t>
    </rPh>
    <rPh sb="4" eb="6">
      <t>キョシツ</t>
    </rPh>
    <rPh sb="6" eb="8">
      <t>ジョウホウ</t>
    </rPh>
    <phoneticPr fontId="2"/>
  </si>
  <si>
    <t>軽量床衝撃音レベル予測結果</t>
    <rPh sb="0" eb="2">
      <t>ケイリョウ</t>
    </rPh>
    <rPh sb="2" eb="3">
      <t>ユカ</t>
    </rPh>
    <rPh sb="3" eb="5">
      <t>ショウゲキ</t>
    </rPh>
    <rPh sb="5" eb="6">
      <t>オン</t>
    </rPh>
    <rPh sb="9" eb="11">
      <t>ヨソク</t>
    </rPh>
    <rPh sb="11" eb="13">
      <t>ケッカ</t>
    </rPh>
    <phoneticPr fontId="2"/>
  </si>
  <si>
    <t>X方向</t>
    <rPh sb="1" eb="3">
      <t>ホウコウ</t>
    </rPh>
    <phoneticPr fontId="2"/>
  </si>
  <si>
    <t>Y方向</t>
    <rPh sb="1" eb="3">
      <t>ホウコウ</t>
    </rPh>
    <phoneticPr fontId="2"/>
  </si>
  <si>
    <t>本予測結果は以下の文献を参考に行っています。</t>
    <rPh sb="0" eb="1">
      <t>ホン</t>
    </rPh>
    <rPh sb="3" eb="5">
      <t>ケッカ</t>
    </rPh>
    <rPh sb="6" eb="8">
      <t>イカ</t>
    </rPh>
    <rPh sb="9" eb="11">
      <t>ブンケン</t>
    </rPh>
    <rPh sb="12" eb="14">
      <t>サンコウ</t>
    </rPh>
    <rPh sb="15" eb="16">
      <t>オコナ</t>
    </rPh>
    <phoneticPr fontId="2"/>
  </si>
  <si>
    <t>⇒</t>
    <phoneticPr fontId="2"/>
  </si>
  <si>
    <r>
      <t>下室（受音室）の吸音力</t>
    </r>
    <r>
      <rPr>
        <sz val="10"/>
        <rFont val="Arial"/>
        <family val="2"/>
      </rPr>
      <t xml:space="preserve"> A</t>
    </r>
    <rPh sb="0" eb="1">
      <t>カ</t>
    </rPh>
    <rPh sb="1" eb="2">
      <t>シツ</t>
    </rPh>
    <rPh sb="3" eb="4">
      <t>ジュ</t>
    </rPh>
    <rPh sb="4" eb="5">
      <t>オン</t>
    </rPh>
    <rPh sb="5" eb="6">
      <t>シツ</t>
    </rPh>
    <rPh sb="8" eb="10">
      <t>キュウオン</t>
    </rPh>
    <rPh sb="10" eb="11">
      <t>リョク</t>
    </rPh>
    <phoneticPr fontId="2"/>
  </si>
  <si>
    <t>31.5Hz</t>
    <phoneticPr fontId="2"/>
  </si>
  <si>
    <r>
      <t>x/λb</t>
    </r>
    <r>
      <rPr>
        <sz val="8"/>
        <rFont val="ＭＳ Ｐゴシック"/>
        <family val="3"/>
        <charset val="128"/>
      </rPr>
      <t>（</t>
    </r>
    <r>
      <rPr>
        <sz val="8"/>
        <rFont val="Arial"/>
        <family val="2"/>
      </rPr>
      <t>31.5Hz</t>
    </r>
    <r>
      <rPr>
        <sz val="8"/>
        <rFont val="ＭＳ Ｐゴシック"/>
        <family val="3"/>
        <charset val="128"/>
      </rPr>
      <t>）</t>
    </r>
    <phoneticPr fontId="2"/>
  </si>
  <si>
    <r>
      <t>x/λb</t>
    </r>
    <r>
      <rPr>
        <sz val="8"/>
        <rFont val="ＭＳ Ｐゴシック"/>
        <family val="3"/>
        <charset val="128"/>
      </rPr>
      <t>（</t>
    </r>
    <r>
      <rPr>
        <sz val="8"/>
        <rFont val="Arial"/>
        <family val="2"/>
      </rPr>
      <t>25Hz</t>
    </r>
    <r>
      <rPr>
        <sz val="8"/>
        <rFont val="ＭＳ Ｐゴシック"/>
        <family val="3"/>
        <charset val="128"/>
      </rPr>
      <t>）</t>
    </r>
    <phoneticPr fontId="2"/>
  </si>
  <si>
    <t>31.5Hz</t>
    <phoneticPr fontId="2"/>
  </si>
  <si>
    <t>31.5Hz</t>
    <phoneticPr fontId="2"/>
  </si>
  <si>
    <t>31.5Hz</t>
    <phoneticPr fontId="2"/>
  </si>
  <si>
    <t>315.Hz</t>
    <phoneticPr fontId="2"/>
  </si>
  <si>
    <t>-</t>
    <phoneticPr fontId="2"/>
  </si>
  <si>
    <t>S1</t>
    <phoneticPr fontId="2"/>
  </si>
  <si>
    <t>Average</t>
    <phoneticPr fontId="2"/>
  </si>
  <si>
    <t>63Hz</t>
    <phoneticPr fontId="2"/>
  </si>
  <si>
    <t>125Hz</t>
    <phoneticPr fontId="2"/>
  </si>
  <si>
    <t>250Hz</t>
    <phoneticPr fontId="2"/>
  </si>
  <si>
    <t>インピーダンスレベル上昇量</t>
    <rPh sb="10" eb="12">
      <t>ジョウショウ</t>
    </rPh>
    <rPh sb="12" eb="13">
      <t>リョウ</t>
    </rPh>
    <phoneticPr fontId="2"/>
  </si>
  <si>
    <t>居室</t>
    <rPh sb="0" eb="2">
      <t>キョシツ</t>
    </rPh>
    <phoneticPr fontId="18"/>
  </si>
  <si>
    <t>スラブ</t>
  </si>
  <si>
    <t>種類</t>
    <rPh sb="0" eb="2">
      <t>シュルイ</t>
    </rPh>
    <phoneticPr fontId="18"/>
  </si>
  <si>
    <t>面積</t>
    <rPh sb="0" eb="2">
      <t>メンセキ</t>
    </rPh>
    <phoneticPr fontId="18"/>
  </si>
  <si>
    <t>天井高さ</t>
    <rPh sb="0" eb="2">
      <t>テンジョウ</t>
    </rPh>
    <rPh sb="2" eb="3">
      <t>タカ</t>
    </rPh>
    <phoneticPr fontId="18"/>
  </si>
  <si>
    <t>厚さ</t>
    <rPh sb="0" eb="1">
      <t>アツ</t>
    </rPh>
    <phoneticPr fontId="18"/>
  </si>
  <si>
    <t>等価厚</t>
    <rPh sb="0" eb="2">
      <t>トウカ</t>
    </rPh>
    <rPh sb="2" eb="3">
      <t>アツ</t>
    </rPh>
    <phoneticPr fontId="18"/>
  </si>
  <si>
    <t>スパン</t>
  </si>
  <si>
    <t>一次固有振動数</t>
    <rPh sb="0" eb="2">
      <t>イチジ</t>
    </rPh>
    <rPh sb="2" eb="4">
      <t>コユウ</t>
    </rPh>
    <rPh sb="4" eb="7">
      <t>シンドウスウ</t>
    </rPh>
    <phoneticPr fontId="18"/>
  </si>
  <si>
    <t>×</t>
    <phoneticPr fontId="2"/>
  </si>
  <si>
    <t>スラブ</t>
    <phoneticPr fontId="49"/>
  </si>
  <si>
    <t>等価厚さ</t>
    <rPh sb="0" eb="2">
      <t>トウカ</t>
    </rPh>
    <rPh sb="2" eb="3">
      <t>アツ</t>
    </rPh>
    <phoneticPr fontId="49"/>
  </si>
  <si>
    <t>梁幅</t>
    <rPh sb="0" eb="1">
      <t>ハリ</t>
    </rPh>
    <rPh sb="1" eb="2">
      <t>ハバ</t>
    </rPh>
    <phoneticPr fontId="49"/>
  </si>
  <si>
    <t>S1</t>
  </si>
  <si>
    <t>S2</t>
  </si>
  <si>
    <t>S3</t>
  </si>
  <si>
    <t>S4</t>
  </si>
  <si>
    <t>31.5Hz</t>
    <phoneticPr fontId="2"/>
  </si>
  <si>
    <t>63Hz</t>
    <phoneticPr fontId="2"/>
  </si>
  <si>
    <t>125Hz</t>
    <phoneticPr fontId="2"/>
  </si>
  <si>
    <t>250Hz</t>
    <phoneticPr fontId="2"/>
  </si>
  <si>
    <t>500Hz</t>
    <phoneticPr fontId="2"/>
  </si>
  <si>
    <r>
      <t>x/</t>
    </r>
    <r>
      <rPr>
        <sz val="11"/>
        <rFont val="ＭＳ Ｐゴシック"/>
        <family val="3"/>
        <charset val="128"/>
      </rPr>
      <t>λ</t>
    </r>
    <r>
      <rPr>
        <sz val="11"/>
        <rFont val="Arial"/>
        <family val="2"/>
      </rPr>
      <t>b</t>
    </r>
    <phoneticPr fontId="2"/>
  </si>
  <si>
    <t>ΔL</t>
    <phoneticPr fontId="2"/>
  </si>
  <si>
    <t>計</t>
    <rPh sb="0" eb="1">
      <t>ケイ</t>
    </rPh>
    <phoneticPr fontId="2"/>
  </si>
  <si>
    <t>共振による低下量</t>
    <rPh sb="0" eb="2">
      <t>キョウシン</t>
    </rPh>
    <rPh sb="5" eb="7">
      <t>テイカ</t>
    </rPh>
    <rPh sb="7" eb="8">
      <t>リョウ</t>
    </rPh>
    <phoneticPr fontId="2"/>
  </si>
  <si>
    <t>吸音力</t>
    <rPh sb="0" eb="2">
      <t>キュウオン</t>
    </rPh>
    <rPh sb="2" eb="3">
      <t>リョク</t>
    </rPh>
    <phoneticPr fontId="2"/>
  </si>
  <si>
    <t>吸音率</t>
    <rPh sb="0" eb="2">
      <t>キュウオン</t>
    </rPh>
    <rPh sb="2" eb="3">
      <t>リツ</t>
    </rPh>
    <phoneticPr fontId="2"/>
  </si>
  <si>
    <t>低下量</t>
    <rPh sb="0" eb="2">
      <t>テイカ</t>
    </rPh>
    <rPh sb="2" eb="3">
      <t>リョウ</t>
    </rPh>
    <phoneticPr fontId="2"/>
  </si>
  <si>
    <t>耐力壁</t>
    <rPh sb="0" eb="3">
      <t>タイリョクヘキ</t>
    </rPh>
    <phoneticPr fontId="2"/>
  </si>
  <si>
    <t>アウトフレーム</t>
    <phoneticPr fontId="2"/>
  </si>
  <si>
    <t>柱</t>
    <rPh sb="0" eb="1">
      <t>ハシラ</t>
    </rPh>
    <phoneticPr fontId="2"/>
  </si>
  <si>
    <t>インピーダンスレベル上昇量</t>
    <rPh sb="10" eb="12">
      <t>ジョウショウ</t>
    </rPh>
    <rPh sb="12" eb="13">
      <t>リョウ</t>
    </rPh>
    <phoneticPr fontId="2"/>
  </si>
  <si>
    <t>スラブ　断面二次</t>
    <rPh sb="4" eb="6">
      <t>ダンメン</t>
    </rPh>
    <rPh sb="6" eb="8">
      <t>ニジ</t>
    </rPh>
    <phoneticPr fontId="2"/>
  </si>
  <si>
    <r>
      <rPr>
        <sz val="11"/>
        <rFont val="ＭＳ Ｐゴシック"/>
        <family val="3"/>
        <charset val="128"/>
      </rPr>
      <t>スラブ</t>
    </r>
    <r>
      <rPr>
        <sz val="11"/>
        <rFont val="Arial"/>
        <family val="2"/>
      </rPr>
      <t>+</t>
    </r>
    <r>
      <rPr>
        <sz val="11"/>
        <rFont val="ＭＳ Ｐゴシック"/>
        <family val="3"/>
        <charset val="128"/>
      </rPr>
      <t>梁　断面二次</t>
    </r>
    <rPh sb="4" eb="5">
      <t>ハリ</t>
    </rPh>
    <rPh sb="6" eb="8">
      <t>ダンメン</t>
    </rPh>
    <rPh sb="8" eb="10">
      <t>ニジ</t>
    </rPh>
    <phoneticPr fontId="2"/>
  </si>
  <si>
    <r>
      <t>1</t>
    </r>
    <r>
      <rPr>
        <sz val="10"/>
        <rFont val="Arial"/>
        <family val="2"/>
      </rPr>
      <t>.</t>
    </r>
    <r>
      <rPr>
        <sz val="10"/>
        <rFont val="ＭＳ Ｐゴシック"/>
        <family val="3"/>
        <charset val="128"/>
      </rPr>
      <t>フローリング仕上げ</t>
    </r>
    <rPh sb="8" eb="10">
      <t>シア</t>
    </rPh>
    <phoneticPr fontId="2"/>
  </si>
  <si>
    <r>
      <t>2.</t>
    </r>
    <r>
      <rPr>
        <sz val="10"/>
        <rFont val="ＭＳ Ｐゴシック"/>
        <family val="3"/>
        <charset val="128"/>
      </rPr>
      <t>カーペット仕上げ</t>
    </r>
    <rPh sb="7" eb="9">
      <t>シア</t>
    </rPh>
    <phoneticPr fontId="2"/>
  </si>
  <si>
    <r>
      <t>3.</t>
    </r>
    <r>
      <rPr>
        <sz val="10"/>
        <rFont val="ＭＳ Ｐゴシック"/>
        <family val="3"/>
        <charset val="128"/>
      </rPr>
      <t>畳仕上げ</t>
    </r>
    <rPh sb="2" eb="3">
      <t>タタミ</t>
    </rPh>
    <rPh sb="3" eb="5">
      <t>シア</t>
    </rPh>
    <phoneticPr fontId="2"/>
  </si>
  <si>
    <r>
      <t>6</t>
    </r>
    <r>
      <rPr>
        <sz val="10"/>
        <rFont val="Arial"/>
        <family val="2"/>
      </rPr>
      <t>3Hz</t>
    </r>
    <phoneticPr fontId="2"/>
  </si>
  <si>
    <r>
      <t>1</t>
    </r>
    <r>
      <rPr>
        <sz val="10"/>
        <rFont val="Arial"/>
        <family val="2"/>
      </rPr>
      <t>25Hz</t>
    </r>
    <phoneticPr fontId="2"/>
  </si>
  <si>
    <r>
      <t>2</t>
    </r>
    <r>
      <rPr>
        <sz val="10"/>
        <rFont val="Arial"/>
        <family val="2"/>
      </rPr>
      <t>50Hz</t>
    </r>
    <phoneticPr fontId="2"/>
  </si>
  <si>
    <r>
      <t>5</t>
    </r>
    <r>
      <rPr>
        <sz val="10"/>
        <rFont val="Arial"/>
        <family val="2"/>
      </rPr>
      <t>00Hz</t>
    </r>
    <phoneticPr fontId="2"/>
  </si>
  <si>
    <r>
      <t>1</t>
    </r>
    <r>
      <rPr>
        <sz val="10"/>
        <rFont val="Arial"/>
        <family val="2"/>
      </rPr>
      <t>kHz</t>
    </r>
    <phoneticPr fontId="2"/>
  </si>
  <si>
    <r>
      <t>2</t>
    </r>
    <r>
      <rPr>
        <sz val="10"/>
        <rFont val="Arial"/>
        <family val="2"/>
      </rPr>
      <t>kHz</t>
    </r>
    <phoneticPr fontId="2"/>
  </si>
  <si>
    <t>吸音率</t>
    <rPh sb="0" eb="2">
      <t>キュウオン</t>
    </rPh>
    <rPh sb="2" eb="3">
      <t>リツ</t>
    </rPh>
    <phoneticPr fontId="2"/>
  </si>
  <si>
    <t>耐力壁</t>
    <rPh sb="0" eb="3">
      <t>タイリョクヘキ</t>
    </rPh>
    <phoneticPr fontId="2"/>
  </si>
  <si>
    <t>アウトフレーム工法の外壁部</t>
    <rPh sb="7" eb="9">
      <t>コウホウ</t>
    </rPh>
    <rPh sb="10" eb="12">
      <t>ガイヘキ</t>
    </rPh>
    <rPh sb="12" eb="13">
      <t>ブ</t>
    </rPh>
    <phoneticPr fontId="2"/>
  </si>
  <si>
    <t>柱</t>
    <rPh sb="0" eb="1">
      <t>ハシラ</t>
    </rPh>
    <phoneticPr fontId="2"/>
  </si>
  <si>
    <r>
      <t xml:space="preserve">   1.</t>
    </r>
    <r>
      <rPr>
        <sz val="11"/>
        <rFont val="ＭＳ Ｐゴシック"/>
        <family val="3"/>
        <charset val="128"/>
      </rPr>
      <t>均質単板スラブ（</t>
    </r>
    <r>
      <rPr>
        <sz val="11"/>
        <rFont val="Arial"/>
        <family val="2"/>
      </rPr>
      <t>RC</t>
    </r>
    <r>
      <rPr>
        <sz val="11"/>
        <rFont val="ＭＳ Ｐゴシック"/>
        <family val="3"/>
        <charset val="128"/>
      </rPr>
      <t>スラブ）</t>
    </r>
    <rPh sb="5" eb="7">
      <t>キンシツ</t>
    </rPh>
    <rPh sb="7" eb="8">
      <t>タン</t>
    </rPh>
    <rPh sb="8" eb="9">
      <t>イタ</t>
    </rPh>
    <phoneticPr fontId="2"/>
  </si>
  <si>
    <r>
      <t xml:space="preserve">   6.</t>
    </r>
    <r>
      <rPr>
        <sz val="11"/>
        <rFont val="ＭＳ Ｐゴシック"/>
        <family val="3"/>
        <charset val="128"/>
      </rPr>
      <t>波型中空合成スラブ</t>
    </r>
    <rPh sb="5" eb="7">
      <t>ナミガタ</t>
    </rPh>
    <rPh sb="7" eb="9">
      <t>チュウクウ</t>
    </rPh>
    <rPh sb="9" eb="11">
      <t>ゴウセイ</t>
    </rPh>
    <phoneticPr fontId="2"/>
  </si>
  <si>
    <r>
      <t xml:space="preserve">   7.</t>
    </r>
    <r>
      <rPr>
        <sz val="11"/>
        <rFont val="ＭＳ Ｐゴシック"/>
        <family val="3"/>
        <charset val="128"/>
      </rPr>
      <t>波型中空スラブ</t>
    </r>
    <rPh sb="5" eb="7">
      <t>ナミガタ</t>
    </rPh>
    <rPh sb="7" eb="9">
      <t>チュウクウ</t>
    </rPh>
    <phoneticPr fontId="2"/>
  </si>
  <si>
    <r>
      <t>m</t>
    </r>
    <r>
      <rPr>
        <vertAlign val="superscript"/>
        <sz val="11"/>
        <rFont val="Arial"/>
        <family val="2"/>
      </rPr>
      <t>2</t>
    </r>
    <phoneticPr fontId="2"/>
  </si>
  <si>
    <t>梁（大梁）</t>
    <rPh sb="0" eb="1">
      <t>ハリ</t>
    </rPh>
    <rPh sb="2" eb="4">
      <t>オオバリ</t>
    </rPh>
    <phoneticPr fontId="2"/>
  </si>
  <si>
    <t>水廻り段差部</t>
    <rPh sb="0" eb="1">
      <t>ミズ</t>
    </rPh>
    <rPh sb="1" eb="2">
      <t>マワ</t>
    </rPh>
    <rPh sb="3" eb="5">
      <t>ダンサ</t>
    </rPh>
    <rPh sb="5" eb="6">
      <t>ブ</t>
    </rPh>
    <phoneticPr fontId="2"/>
  </si>
  <si>
    <t>垂壁</t>
    <rPh sb="0" eb="1">
      <t>タレ</t>
    </rPh>
    <rPh sb="1" eb="2">
      <t>カベ</t>
    </rPh>
    <phoneticPr fontId="2"/>
  </si>
  <si>
    <t>手動</t>
    <rPh sb="0" eb="2">
      <t>シュドウ</t>
    </rPh>
    <phoneticPr fontId="2"/>
  </si>
  <si>
    <t>　b.梁（小梁）</t>
    <rPh sb="3" eb="4">
      <t>ハリ</t>
    </rPh>
    <rPh sb="5" eb="7">
      <t>コバリ</t>
    </rPh>
    <phoneticPr fontId="2"/>
  </si>
  <si>
    <t>梁（小梁）</t>
    <rPh sb="0" eb="1">
      <t>ハリ</t>
    </rPh>
    <rPh sb="2" eb="4">
      <t>コバリ</t>
    </rPh>
    <phoneticPr fontId="2"/>
  </si>
  <si>
    <t>　a.梁（大梁）</t>
    <rPh sb="3" eb="4">
      <t>ハリ</t>
    </rPh>
    <rPh sb="5" eb="7">
      <t>オオバリ</t>
    </rPh>
    <phoneticPr fontId="2"/>
  </si>
  <si>
    <t>　c.水廻り段差部</t>
    <rPh sb="3" eb="4">
      <t>ミズ</t>
    </rPh>
    <rPh sb="4" eb="5">
      <t>マワ</t>
    </rPh>
    <rPh sb="6" eb="8">
      <t>ダンサ</t>
    </rPh>
    <rPh sb="8" eb="9">
      <t>ブ</t>
    </rPh>
    <phoneticPr fontId="2"/>
  </si>
  <si>
    <t>　d.垂壁</t>
    <rPh sb="3" eb="4">
      <t>タ</t>
    </rPh>
    <rPh sb="4" eb="5">
      <t>カベ</t>
    </rPh>
    <phoneticPr fontId="2"/>
  </si>
  <si>
    <t>　e.耐力壁</t>
    <rPh sb="3" eb="6">
      <t>タイリョクヘキ</t>
    </rPh>
    <phoneticPr fontId="2"/>
  </si>
  <si>
    <t>比</t>
    <rPh sb="0" eb="1">
      <t>ヒ</t>
    </rPh>
    <phoneticPr fontId="2"/>
  </si>
  <si>
    <t>x方向</t>
    <rPh sb="1" eb="3">
      <t>ホウコウ</t>
    </rPh>
    <phoneticPr fontId="2"/>
  </si>
  <si>
    <t>y方向</t>
    <rPh sb="1" eb="3">
      <t>ホウコウ</t>
    </rPh>
    <phoneticPr fontId="2"/>
  </si>
  <si>
    <t>入力がない場合</t>
    <rPh sb="0" eb="2">
      <t>ニュウリョク</t>
    </rPh>
    <rPh sb="5" eb="7">
      <t>バアイ</t>
    </rPh>
    <phoneticPr fontId="2"/>
  </si>
  <si>
    <t>ΔL　梁他</t>
    <rPh sb="3" eb="4">
      <t>ハリ</t>
    </rPh>
    <rPh sb="4" eb="5">
      <t>ホカ</t>
    </rPh>
    <phoneticPr fontId="2"/>
  </si>
  <si>
    <t>ΔL　小型スラブ　大梁</t>
    <rPh sb="3" eb="5">
      <t>コガタ</t>
    </rPh>
    <rPh sb="9" eb="11">
      <t>オオバリ</t>
    </rPh>
    <phoneticPr fontId="2"/>
  </si>
  <si>
    <t>ΔL　小型スラブ　小梁</t>
    <rPh sb="3" eb="5">
      <t>コガタ</t>
    </rPh>
    <rPh sb="9" eb="11">
      <t>コバリ</t>
    </rPh>
    <phoneticPr fontId="2"/>
  </si>
  <si>
    <t>25Hz</t>
    <phoneticPr fontId="2"/>
  </si>
  <si>
    <t>　ｆ.アウトフレーム工法の外壁部</t>
    <phoneticPr fontId="2"/>
  </si>
  <si>
    <r>
      <rPr>
        <sz val="11"/>
        <rFont val="ＭＳ Ｐゴシック"/>
        <family val="3"/>
        <charset val="128"/>
      </rPr>
      <t>　</t>
    </r>
    <r>
      <rPr>
        <sz val="11"/>
        <rFont val="Arial"/>
        <family val="2"/>
      </rPr>
      <t xml:space="preserve">1. </t>
    </r>
    <r>
      <rPr>
        <sz val="11"/>
        <rFont val="ＭＳ Ｐゴシック"/>
        <family val="3"/>
        <charset val="128"/>
      </rPr>
      <t>フローリング仕上げ</t>
    </r>
    <rPh sb="10" eb="12">
      <t>シア</t>
    </rPh>
    <phoneticPr fontId="2"/>
  </si>
  <si>
    <r>
      <rPr>
        <sz val="11"/>
        <rFont val="ＭＳ Ｐゴシック"/>
        <family val="3"/>
        <charset val="128"/>
      </rPr>
      <t>　</t>
    </r>
    <r>
      <rPr>
        <sz val="11"/>
        <rFont val="Arial"/>
        <family val="2"/>
      </rPr>
      <t xml:space="preserve">2. </t>
    </r>
    <r>
      <rPr>
        <sz val="11"/>
        <rFont val="ＭＳ Ｐゴシック"/>
        <family val="3"/>
        <charset val="128"/>
      </rPr>
      <t>カーペット仕上げ</t>
    </r>
    <rPh sb="9" eb="11">
      <t>シア</t>
    </rPh>
    <phoneticPr fontId="2"/>
  </si>
  <si>
    <r>
      <rPr>
        <sz val="11"/>
        <rFont val="ＭＳ Ｐゴシック"/>
        <family val="3"/>
        <charset val="128"/>
      </rPr>
      <t>　</t>
    </r>
    <r>
      <rPr>
        <sz val="11"/>
        <rFont val="Arial"/>
        <family val="2"/>
      </rPr>
      <t xml:space="preserve">3. </t>
    </r>
    <r>
      <rPr>
        <sz val="11"/>
        <rFont val="ＭＳ Ｐゴシック"/>
        <family val="3"/>
        <charset val="128"/>
      </rPr>
      <t>畳仕上げ</t>
    </r>
    <rPh sb="4" eb="5">
      <t>タタミ</t>
    </rPh>
    <rPh sb="5" eb="7">
      <t>シア</t>
    </rPh>
    <phoneticPr fontId="2"/>
  </si>
  <si>
    <r>
      <t>距離（</t>
    </r>
    <r>
      <rPr>
        <sz val="10"/>
        <rFont val="Arial"/>
        <family val="2"/>
      </rPr>
      <t>mm</t>
    </r>
    <r>
      <rPr>
        <sz val="10"/>
        <rFont val="ＭＳ Ｐゴシック"/>
        <family val="3"/>
        <charset val="128"/>
      </rPr>
      <t>）</t>
    </r>
    <rPh sb="0" eb="2">
      <t>キョリ</t>
    </rPh>
    <phoneticPr fontId="2"/>
  </si>
  <si>
    <t>受音室の床仕上げによって受音室の種類を1～3から選択する。スラブの1次固有振動数が125Hz帯域以上となる場合は、受音室の種類を"4"を入力する。</t>
    <rPh sb="0" eb="2">
      <t>ジュオン</t>
    </rPh>
    <rPh sb="2" eb="3">
      <t>シツ</t>
    </rPh>
    <rPh sb="4" eb="5">
      <t>ユカ</t>
    </rPh>
    <rPh sb="5" eb="7">
      <t>シア</t>
    </rPh>
    <rPh sb="12" eb="14">
      <t>ジュオン</t>
    </rPh>
    <rPh sb="14" eb="15">
      <t>シツ</t>
    </rPh>
    <rPh sb="16" eb="18">
      <t>シュルイ</t>
    </rPh>
    <rPh sb="24" eb="26">
      <t>センタク</t>
    </rPh>
    <rPh sb="34" eb="35">
      <t>ジ</t>
    </rPh>
    <rPh sb="35" eb="37">
      <t>コユウ</t>
    </rPh>
    <rPh sb="37" eb="40">
      <t>シンドウスウ</t>
    </rPh>
    <rPh sb="46" eb="48">
      <t>タイイキ</t>
    </rPh>
    <rPh sb="48" eb="50">
      <t>イジョウ</t>
    </rPh>
    <rPh sb="53" eb="55">
      <t>バアイ</t>
    </rPh>
    <rPh sb="57" eb="58">
      <t>ジュ</t>
    </rPh>
    <rPh sb="58" eb="59">
      <t>オン</t>
    </rPh>
    <rPh sb="59" eb="60">
      <t>シツ</t>
    </rPh>
    <rPh sb="61" eb="63">
      <t>シュルイ</t>
    </rPh>
    <rPh sb="68" eb="70">
      <t>ニュウリョク</t>
    </rPh>
    <phoneticPr fontId="2"/>
  </si>
  <si>
    <t>種別</t>
    <rPh sb="0" eb="2">
      <t>シュベツ</t>
    </rPh>
    <phoneticPr fontId="2"/>
  </si>
  <si>
    <t>※計算値は，実測値に対して±5dB以下の範囲におおよそ95%分布します。</t>
    <rPh sb="17" eb="19">
      <t>イカ</t>
    </rPh>
    <phoneticPr fontId="2"/>
  </si>
  <si>
    <t>※室内の平均吸音率は，計算対象スラブのスラブ1次固有振動数が125Hz帯域以上の場合は0.2，63Hz帯域以下の場合は竣工時の</t>
    <rPh sb="1" eb="3">
      <t>シツナイ</t>
    </rPh>
    <rPh sb="4" eb="6">
      <t>ヘイキン</t>
    </rPh>
    <rPh sb="6" eb="8">
      <t>キュウオン</t>
    </rPh>
    <rPh sb="8" eb="9">
      <t>リツ</t>
    </rPh>
    <rPh sb="11" eb="13">
      <t>ケイサン</t>
    </rPh>
    <rPh sb="13" eb="15">
      <t>タイショウ</t>
    </rPh>
    <rPh sb="23" eb="24">
      <t>ジ</t>
    </rPh>
    <rPh sb="24" eb="26">
      <t>コユウ</t>
    </rPh>
    <rPh sb="26" eb="29">
      <t>シンドウスウ</t>
    </rPh>
    <rPh sb="35" eb="37">
      <t>タイイキ</t>
    </rPh>
    <rPh sb="37" eb="39">
      <t>イジョウ</t>
    </rPh>
    <rPh sb="40" eb="42">
      <t>バアイ</t>
    </rPh>
    <rPh sb="51" eb="53">
      <t>タイイキ</t>
    </rPh>
    <rPh sb="53" eb="55">
      <t>イカ</t>
    </rPh>
    <rPh sb="56" eb="58">
      <t>バアイ</t>
    </rPh>
    <rPh sb="59" eb="62">
      <t>シュンコウジ</t>
    </rPh>
    <phoneticPr fontId="2"/>
  </si>
  <si>
    <t>　実測値の平均値とします。</t>
    <phoneticPr fontId="2"/>
  </si>
  <si>
    <t>※梁幅・梁せいが不明な場合はそれぞれの種別のデフォルト値を用いて計算しています。</t>
    <rPh sb="1" eb="2">
      <t>ハリ</t>
    </rPh>
    <rPh sb="2" eb="3">
      <t>ハバ</t>
    </rPh>
    <rPh sb="4" eb="5">
      <t>ハリ</t>
    </rPh>
    <rPh sb="8" eb="10">
      <t>フメイ</t>
    </rPh>
    <rPh sb="11" eb="13">
      <t>バアイ</t>
    </rPh>
    <rPh sb="19" eb="21">
      <t>シュベツ</t>
    </rPh>
    <rPh sb="27" eb="28">
      <t>チ</t>
    </rPh>
    <rPh sb="29" eb="30">
      <t>モチ</t>
    </rPh>
    <rPh sb="32" eb="34">
      <t>ケイサン</t>
    </rPh>
    <phoneticPr fontId="2"/>
  </si>
  <si>
    <t>　黒木拓，大脇雅直，石丸岳史，山下恭弘：共同住宅における重量床衝撃音レベル予測計算法に関する検討－インピーダンス法における</t>
    <phoneticPr fontId="2"/>
  </si>
  <si>
    <t>　各種パラメーターに関する検討－，日本騒音制御工学会研究発表会講演論文集，pp.229-232，2020.11</t>
    <phoneticPr fontId="2"/>
  </si>
  <si>
    <t>判定</t>
    <rPh sb="0" eb="2">
      <t>ハンテイ</t>
    </rPh>
    <phoneticPr fontId="2"/>
  </si>
  <si>
    <r>
      <t>x</t>
    </r>
    <r>
      <rPr>
        <sz val="11"/>
        <rFont val="ＭＳ Ｐゴシック"/>
        <family val="3"/>
        <charset val="128"/>
      </rPr>
      <t>方向</t>
    </r>
    <rPh sb="1" eb="3">
      <t>ホウコウ</t>
    </rPh>
    <phoneticPr fontId="2"/>
  </si>
  <si>
    <r>
      <t>y</t>
    </r>
    <r>
      <rPr>
        <sz val="11"/>
        <rFont val="ＭＳ Ｐゴシック"/>
        <family val="3"/>
        <charset val="128"/>
      </rPr>
      <t>方向</t>
    </r>
    <rPh sb="1" eb="3">
      <t>ホウコウ</t>
    </rPh>
    <phoneticPr fontId="2"/>
  </si>
  <si>
    <t>距離（＜500）</t>
    <rPh sb="0" eb="2">
      <t>キョリ</t>
    </rPh>
    <phoneticPr fontId="2"/>
  </si>
  <si>
    <t>加振点毎</t>
    <rPh sb="0" eb="2">
      <t>カシン</t>
    </rPh>
    <rPh sb="2" eb="3">
      <t>テン</t>
    </rPh>
    <rPh sb="3" eb="4">
      <t>ゴト</t>
    </rPh>
    <phoneticPr fontId="2"/>
  </si>
  <si>
    <t>OK</t>
    <phoneticPr fontId="2"/>
  </si>
  <si>
    <r>
      <rPr>
        <sz val="11"/>
        <rFont val="ＭＳ Ｐゴシック"/>
        <family val="3"/>
        <charset val="128"/>
      </rPr>
      <t>x方向の距離が未入力です</t>
    </r>
    <r>
      <rPr>
        <sz val="11"/>
        <rFont val="Arial"/>
        <family val="2"/>
      </rPr>
      <t>!</t>
    </r>
    <rPh sb="1" eb="3">
      <t>ホウコウ</t>
    </rPh>
    <rPh sb="4" eb="6">
      <t>キョリ</t>
    </rPh>
    <rPh sb="7" eb="10">
      <t>ミニュウリョク</t>
    </rPh>
    <phoneticPr fontId="2"/>
  </si>
  <si>
    <r>
      <rPr>
        <sz val="11"/>
        <rFont val="ＭＳ Ｐゴシック"/>
        <family val="3"/>
        <charset val="128"/>
      </rPr>
      <t>x方向またはy方向の距離が未入力です</t>
    </r>
    <r>
      <rPr>
        <sz val="11"/>
        <rFont val="Arial"/>
        <family val="2"/>
      </rPr>
      <t>!</t>
    </r>
    <rPh sb="1" eb="3">
      <t>ホウコウ</t>
    </rPh>
    <rPh sb="7" eb="9">
      <t>ホウコウ</t>
    </rPh>
    <rPh sb="10" eb="12">
      <t>キョリ</t>
    </rPh>
    <rPh sb="13" eb="16">
      <t>ミニュウリョク</t>
    </rPh>
    <phoneticPr fontId="2"/>
  </si>
  <si>
    <t>距離の欄が空欄の場合</t>
    <rPh sb="0" eb="2">
      <t>キョリ</t>
    </rPh>
    <rPh sb="3" eb="4">
      <t>ラン</t>
    </rPh>
    <rPh sb="5" eb="7">
      <t>クウラン</t>
    </rPh>
    <rPh sb="8" eb="10">
      <t>バアイ</t>
    </rPh>
    <phoneticPr fontId="2"/>
  </si>
  <si>
    <r>
      <rPr>
        <sz val="11"/>
        <rFont val="ＭＳ Ｐゴシック"/>
        <family val="3"/>
        <charset val="128"/>
      </rPr>
      <t>加振点を</t>
    </r>
    <r>
      <rPr>
        <sz val="11"/>
        <rFont val="Arial"/>
        <family val="2"/>
      </rPr>
      <t>3</t>
    </r>
    <r>
      <rPr>
        <sz val="11"/>
        <rFont val="ＭＳ Ｐゴシック"/>
        <family val="3"/>
        <charset val="128"/>
      </rPr>
      <t>点以上入力してください</t>
    </r>
    <r>
      <rPr>
        <sz val="11"/>
        <rFont val="Arial"/>
        <family val="2"/>
      </rPr>
      <t>!</t>
    </r>
    <rPh sb="0" eb="2">
      <t>カシン</t>
    </rPh>
    <rPh sb="2" eb="3">
      <t>テン</t>
    </rPh>
    <rPh sb="5" eb="6">
      <t>テン</t>
    </rPh>
    <rPh sb="6" eb="8">
      <t>イジョウ</t>
    </rPh>
    <rPh sb="8" eb="10">
      <t>ニュウリョク</t>
    </rPh>
    <phoneticPr fontId="2"/>
  </si>
  <si>
    <t>種別の欄が空欄の場合</t>
    <rPh sb="0" eb="2">
      <t>シュベツ</t>
    </rPh>
    <rPh sb="3" eb="4">
      <t>ラン</t>
    </rPh>
    <rPh sb="5" eb="7">
      <t>クウラン</t>
    </rPh>
    <rPh sb="8" eb="10">
      <t>バアイ</t>
    </rPh>
    <phoneticPr fontId="2"/>
  </si>
  <si>
    <r>
      <rPr>
        <sz val="11"/>
        <rFont val="ＭＳ Ｐゴシック"/>
        <family val="3"/>
        <charset val="128"/>
      </rPr>
      <t>y方向の距離が未入力です</t>
    </r>
    <r>
      <rPr>
        <sz val="11"/>
        <rFont val="Arial"/>
        <family val="2"/>
      </rPr>
      <t>!</t>
    </r>
    <rPh sb="1" eb="3">
      <t>ホウコウ</t>
    </rPh>
    <rPh sb="4" eb="6">
      <t>キョリ</t>
    </rPh>
    <rPh sb="7" eb="10">
      <t>ミニュウリョク</t>
    </rPh>
    <phoneticPr fontId="2"/>
  </si>
  <si>
    <r>
      <rPr>
        <sz val="11"/>
        <rFont val="ＭＳ Ｐゴシック"/>
        <family val="3"/>
        <charset val="128"/>
      </rPr>
      <t>加振点の種別を</t>
    </r>
    <r>
      <rPr>
        <sz val="11"/>
        <rFont val="Arial"/>
        <family val="2"/>
      </rPr>
      <t>3</t>
    </r>
    <r>
      <rPr>
        <sz val="11"/>
        <rFont val="ＭＳ Ｐゴシック"/>
        <family val="3"/>
        <charset val="128"/>
      </rPr>
      <t>点以上入力してください</t>
    </r>
    <r>
      <rPr>
        <sz val="11"/>
        <rFont val="Arial"/>
        <family val="2"/>
      </rPr>
      <t>!</t>
    </r>
    <rPh sb="0" eb="2">
      <t>カシン</t>
    </rPh>
    <rPh sb="2" eb="3">
      <t>テン</t>
    </rPh>
    <rPh sb="4" eb="6">
      <t>シュベツ</t>
    </rPh>
    <rPh sb="8" eb="9">
      <t>テン</t>
    </rPh>
    <rPh sb="9" eb="11">
      <t>イジョウ</t>
    </rPh>
    <rPh sb="11" eb="13">
      <t>ニュウリョク</t>
    </rPh>
    <phoneticPr fontId="2"/>
  </si>
  <si>
    <r>
      <rPr>
        <sz val="11"/>
        <rFont val="ＭＳ Ｐゴシック"/>
        <family val="3"/>
        <charset val="128"/>
      </rPr>
      <t>x方向の種別が未入力です</t>
    </r>
    <r>
      <rPr>
        <sz val="11"/>
        <rFont val="Arial"/>
        <family val="2"/>
      </rPr>
      <t>!</t>
    </r>
    <rPh sb="1" eb="3">
      <t>ホウコウ</t>
    </rPh>
    <rPh sb="4" eb="6">
      <t>シュベツ</t>
    </rPh>
    <rPh sb="7" eb="10">
      <t>ミニュウリョク</t>
    </rPh>
    <phoneticPr fontId="2"/>
  </si>
  <si>
    <r>
      <rPr>
        <sz val="11"/>
        <rFont val="ＭＳ Ｐゴシック"/>
        <family val="3"/>
        <charset val="128"/>
      </rPr>
      <t>y方向の種別が未入力です</t>
    </r>
    <r>
      <rPr>
        <sz val="11"/>
        <rFont val="Arial"/>
        <family val="2"/>
      </rPr>
      <t>!</t>
    </r>
    <rPh sb="1" eb="3">
      <t>ホウコウ</t>
    </rPh>
    <rPh sb="4" eb="6">
      <t>シュベツ</t>
    </rPh>
    <rPh sb="7" eb="10">
      <t>ミニュウリョク</t>
    </rPh>
    <phoneticPr fontId="2"/>
  </si>
  <si>
    <r>
      <rPr>
        <sz val="11"/>
        <rFont val="ＭＳ Ｐゴシック"/>
        <family val="3"/>
        <charset val="128"/>
      </rPr>
      <t>x方向またはy方向の種別が未入力です</t>
    </r>
    <r>
      <rPr>
        <sz val="11"/>
        <rFont val="Arial"/>
        <family val="2"/>
      </rPr>
      <t>!</t>
    </r>
    <rPh sb="1" eb="3">
      <t>ホウコウ</t>
    </rPh>
    <rPh sb="7" eb="9">
      <t>ホウコウ</t>
    </rPh>
    <rPh sb="10" eb="12">
      <t>シュベツ</t>
    </rPh>
    <rPh sb="13" eb="16">
      <t>ミニュウリョク</t>
    </rPh>
    <phoneticPr fontId="2"/>
  </si>
  <si>
    <t>OK</t>
    <phoneticPr fontId="2"/>
  </si>
  <si>
    <t>スラブ端部からの距離が500mm未満です!</t>
    <rPh sb="3" eb="5">
      <t>タンブ</t>
    </rPh>
    <rPh sb="8" eb="10">
      <t>キョリ</t>
    </rPh>
    <rPh sb="16" eb="18">
      <t>ミマン</t>
    </rPh>
    <phoneticPr fontId="2"/>
  </si>
  <si>
    <t>大梁（木村・井上式（1988））</t>
    <rPh sb="0" eb="2">
      <t>オオバリ</t>
    </rPh>
    <phoneticPr fontId="2"/>
  </si>
  <si>
    <t>小梁（木村・井上式（1988））</t>
    <rPh sb="0" eb="2">
      <t>コバリ</t>
    </rPh>
    <phoneticPr fontId="2"/>
  </si>
  <si>
    <t>　ｇ.大梁（木村・井上式（1988）)</t>
    <rPh sb="3" eb="4">
      <t>オオ</t>
    </rPh>
    <rPh sb="4" eb="5">
      <t>ハリ</t>
    </rPh>
    <phoneticPr fontId="2"/>
  </si>
  <si>
    <t>　ｈ.小梁（木村・井上式（1988））</t>
    <rPh sb="3" eb="4">
      <t>コ</t>
    </rPh>
    <rPh sb="4" eb="5">
      <t>ハリ</t>
    </rPh>
    <phoneticPr fontId="2"/>
  </si>
  <si>
    <t xml:space="preserve">  4.木村・井上式（1988）（α=0.2）</t>
    <phoneticPr fontId="2"/>
  </si>
  <si>
    <t>㎡</t>
    <phoneticPr fontId="2"/>
  </si>
  <si>
    <t>　計算方式：</t>
    <rPh sb="1" eb="3">
      <t>ケイサン</t>
    </rPh>
    <rPh sb="3" eb="5">
      <t>ホウシキ</t>
    </rPh>
    <phoneticPr fontId="2"/>
  </si>
  <si>
    <t>　1次固有振動数：</t>
    <rPh sb="1" eb="3">
      <t>イチジ</t>
    </rPh>
    <rPh sb="3" eb="5">
      <t>コユウ</t>
    </rPh>
    <rPh sb="5" eb="8">
      <t>シンドウスウ</t>
    </rPh>
    <phoneticPr fontId="2"/>
  </si>
  <si>
    <t>曲げ剛性の増加率の平方根</t>
    <phoneticPr fontId="2"/>
  </si>
  <si>
    <t>有効放射面積</t>
    <rPh sb="0" eb="2">
      <t>ユウコウ</t>
    </rPh>
    <rPh sb="2" eb="4">
      <t>ホウシャ</t>
    </rPh>
    <rPh sb="4" eb="6">
      <t>メンセキ</t>
    </rPh>
    <phoneticPr fontId="2"/>
  </si>
  <si>
    <t>ｘ</t>
    <phoneticPr fontId="2"/>
  </si>
  <si>
    <t>ｙ</t>
    <phoneticPr fontId="2"/>
  </si>
  <si>
    <t>インピーダンスレベル上昇量</t>
    <rPh sb="10" eb="12">
      <t>ジョウショウ</t>
    </rPh>
    <rPh sb="12" eb="13">
      <t>リョウ</t>
    </rPh>
    <phoneticPr fontId="2"/>
  </si>
  <si>
    <t>有効放射面積から除かれる距離</t>
    <rPh sb="0" eb="2">
      <t>ユウコウ</t>
    </rPh>
    <rPh sb="2" eb="4">
      <t>ホウシャ</t>
    </rPh>
    <rPh sb="4" eb="6">
      <t>メンセキ</t>
    </rPh>
    <rPh sb="8" eb="9">
      <t>ノゾ</t>
    </rPh>
    <rPh sb="12" eb="14">
      <t>キョリ</t>
    </rPh>
    <phoneticPr fontId="2"/>
  </si>
  <si>
    <t>x方向</t>
    <rPh sb="1" eb="3">
      <t>ホウコウ</t>
    </rPh>
    <phoneticPr fontId="2"/>
  </si>
  <si>
    <t>y方向</t>
    <rPh sb="1" eb="3">
      <t>ホウコウ</t>
    </rPh>
    <phoneticPr fontId="2"/>
  </si>
  <si>
    <t>種別</t>
    <rPh sb="0" eb="2">
      <t>シュベツ</t>
    </rPh>
    <phoneticPr fontId="2"/>
  </si>
  <si>
    <t>比</t>
    <rPh sb="0" eb="1">
      <t>ヒ</t>
    </rPh>
    <phoneticPr fontId="2"/>
  </si>
  <si>
    <t>最大比</t>
    <rPh sb="0" eb="2">
      <t>サイダイ</t>
    </rPh>
    <rPh sb="2" eb="3">
      <t>ヒ</t>
    </rPh>
    <phoneticPr fontId="2"/>
  </si>
  <si>
    <t>表面積</t>
    <rPh sb="0" eb="3">
      <t>ヒョウメンセキ</t>
    </rPh>
    <phoneticPr fontId="2"/>
  </si>
  <si>
    <r>
      <rPr>
        <sz val="11"/>
        <rFont val="ＭＳ Ｐゴシック"/>
        <family val="3"/>
        <charset val="128"/>
      </rPr>
      <t>　</t>
    </r>
    <r>
      <rPr>
        <sz val="11"/>
        <rFont val="Arial"/>
        <family val="2"/>
      </rPr>
      <t xml:space="preserve">4. </t>
    </r>
    <r>
      <rPr>
        <sz val="11"/>
        <rFont val="ＭＳ Ｐゴシック"/>
        <family val="3"/>
        <charset val="128"/>
      </rPr>
      <t>木村・井上式（</t>
    </r>
    <r>
      <rPr>
        <sz val="11"/>
        <rFont val="Arial"/>
        <family val="2"/>
      </rPr>
      <t>1988</t>
    </r>
    <r>
      <rPr>
        <sz val="11"/>
        <rFont val="ＭＳ Ｐゴシック"/>
        <family val="3"/>
        <charset val="128"/>
      </rPr>
      <t>）（</t>
    </r>
    <r>
      <rPr>
        <sz val="11"/>
        <rFont val="Arial"/>
        <family val="2"/>
      </rPr>
      <t>α=0.2</t>
    </r>
    <r>
      <rPr>
        <sz val="11"/>
        <rFont val="ＭＳ Ｐゴシック"/>
        <family val="3"/>
        <charset val="128"/>
      </rPr>
      <t>）</t>
    </r>
    <phoneticPr fontId="2"/>
  </si>
  <si>
    <t>共振によるインピーダンスレベル低下量</t>
    <rPh sb="0" eb="2">
      <t>キョウシン</t>
    </rPh>
    <rPh sb="15" eb="17">
      <t>テイカ</t>
    </rPh>
    <rPh sb="17" eb="18">
      <t>リョウ</t>
    </rPh>
    <phoneticPr fontId="2"/>
  </si>
  <si>
    <t>　 実測値の平均値とします。</t>
    <phoneticPr fontId="2"/>
  </si>
  <si>
    <t>　財満健史，黒木拓，大脇雅直：共同住宅などを対象とした室内平均吸音率の検討事例，日本建築学会大会学術講演梗</t>
    <rPh sb="1" eb="2">
      <t>ザイ</t>
    </rPh>
    <rPh sb="2" eb="3">
      <t>ミツル</t>
    </rPh>
    <rPh sb="3" eb="4">
      <t>ケン</t>
    </rPh>
    <rPh sb="4" eb="5">
      <t>シ</t>
    </rPh>
    <rPh sb="6" eb="8">
      <t>クロキ</t>
    </rPh>
    <rPh sb="8" eb="9">
      <t>タク</t>
    </rPh>
    <rPh sb="10" eb="12">
      <t>オオワキ</t>
    </rPh>
    <rPh sb="12" eb="14">
      <t>マサナオ</t>
    </rPh>
    <rPh sb="15" eb="17">
      <t>キョウドウ</t>
    </rPh>
    <rPh sb="17" eb="19">
      <t>ジュウタク</t>
    </rPh>
    <rPh sb="22" eb="24">
      <t>タイショウ</t>
    </rPh>
    <rPh sb="27" eb="29">
      <t>シツナイ</t>
    </rPh>
    <rPh sb="29" eb="31">
      <t>ヘイキン</t>
    </rPh>
    <rPh sb="31" eb="33">
      <t>キュウオン</t>
    </rPh>
    <rPh sb="33" eb="34">
      <t>リツ</t>
    </rPh>
    <rPh sb="35" eb="37">
      <t>ケントウ</t>
    </rPh>
    <rPh sb="37" eb="39">
      <t>ジレイ</t>
    </rPh>
    <rPh sb="40" eb="42">
      <t>ニホン</t>
    </rPh>
    <rPh sb="42" eb="44">
      <t>ケンチク</t>
    </rPh>
    <rPh sb="44" eb="46">
      <t>ガッカイ</t>
    </rPh>
    <rPh sb="46" eb="48">
      <t>タイカイ</t>
    </rPh>
    <rPh sb="48" eb="50">
      <t>ガクジュツ</t>
    </rPh>
    <rPh sb="50" eb="52">
      <t>コウエン</t>
    </rPh>
    <rPh sb="52" eb="53">
      <t>コウ</t>
    </rPh>
    <phoneticPr fontId="2"/>
  </si>
  <si>
    <t>　概集，pp.287-288，2020.9</t>
    <rPh sb="1" eb="2">
      <t>ガイ</t>
    </rPh>
    <rPh sb="2" eb="3">
      <t>シュウ</t>
    </rPh>
    <phoneticPr fontId="2"/>
  </si>
  <si>
    <t>室内最大音圧レベルの算出</t>
    <rPh sb="0" eb="2">
      <t>シツナイ</t>
    </rPh>
    <rPh sb="2" eb="4">
      <t>サイダイ</t>
    </rPh>
    <rPh sb="4" eb="6">
      <t>オンアツ</t>
    </rPh>
    <rPh sb="10" eb="12">
      <t>サンシュツ</t>
    </rPh>
    <phoneticPr fontId="2"/>
  </si>
  <si>
    <t>　　　　　のデフォルト値 ： “1.梁（大梁）”=3.5，“2.梁（小梁）”=2.5，“3.水廻り段差部”=1.0，“4.垂壁”=1.5</t>
    <rPh sb="11" eb="12">
      <t>チ</t>
    </rPh>
    <rPh sb="18" eb="19">
      <t>ハリ</t>
    </rPh>
    <rPh sb="20" eb="22">
      <t>オオバリ</t>
    </rPh>
    <rPh sb="34" eb="35">
      <t>コ</t>
    </rPh>
    <rPh sb="46" eb="47">
      <t>ミズ</t>
    </rPh>
    <rPh sb="47" eb="48">
      <t>マワ</t>
    </rPh>
    <rPh sb="49" eb="51">
      <t>ダンサ</t>
    </rPh>
    <rPh sb="51" eb="52">
      <t>ブ</t>
    </rPh>
    <rPh sb="61" eb="62">
      <t>タ</t>
    </rPh>
    <rPh sb="62" eb="63">
      <t>カベ</t>
    </rPh>
    <phoneticPr fontId="2"/>
  </si>
  <si>
    <t>梁せい，梁幅がわからない場合 ： “1.梁（大梁）”=3.5，“2.梁（小梁）”=2.5，“3.水廻り段差部”=1.0，“4.垂壁”=1.5</t>
    <phoneticPr fontId="2"/>
  </si>
  <si>
    <r>
      <t>0:</t>
    </r>
    <r>
      <rPr>
        <sz val="11"/>
        <rFont val="ＭＳ Ｐゴシック"/>
        <family val="3"/>
        <charset val="128"/>
      </rPr>
      <t>大脇・山下式2021　OK</t>
    </r>
    <rPh sb="2" eb="4">
      <t>オオワキ</t>
    </rPh>
    <rPh sb="5" eb="7">
      <t>ヤマシタ</t>
    </rPh>
    <rPh sb="7" eb="8">
      <t>シキ</t>
    </rPh>
    <phoneticPr fontId="2"/>
  </si>
  <si>
    <r>
      <rPr>
        <sz val="11"/>
        <rFont val="ＭＳ Ｐゴシック"/>
        <family val="3"/>
        <charset val="128"/>
      </rPr>
      <t>1</t>
    </r>
    <r>
      <rPr>
        <sz val="11"/>
        <rFont val="Arial"/>
        <family val="2"/>
      </rPr>
      <t>:</t>
    </r>
    <r>
      <rPr>
        <sz val="11"/>
        <rFont val="ＭＳ Ｐゴシック"/>
        <family val="3"/>
        <charset val="128"/>
      </rPr>
      <t>大脇・山下式2021　ＮＧ</t>
    </r>
    <rPh sb="2" eb="4">
      <t>オオワキ</t>
    </rPh>
    <rPh sb="5" eb="7">
      <t>ヤマシタ</t>
    </rPh>
    <rPh sb="7" eb="8">
      <t>シキ</t>
    </rPh>
    <phoneticPr fontId="2"/>
  </si>
  <si>
    <t>判定</t>
    <rPh sb="0" eb="2">
      <t>ハンテイ</t>
    </rPh>
    <phoneticPr fontId="2"/>
  </si>
  <si>
    <r>
      <t>2:</t>
    </r>
    <r>
      <rPr>
        <sz val="11"/>
        <rFont val="ＭＳ Ｐゴシック"/>
        <family val="3"/>
        <charset val="128"/>
      </rPr>
      <t>木村・井上式　</t>
    </r>
    <r>
      <rPr>
        <sz val="11"/>
        <rFont val="Arial"/>
        <family val="2"/>
      </rPr>
      <t>NG</t>
    </r>
    <rPh sb="2" eb="4">
      <t>キムラ</t>
    </rPh>
    <rPh sb="5" eb="7">
      <t>イノウエ</t>
    </rPh>
    <rPh sb="7" eb="8">
      <t>シキ</t>
    </rPh>
    <phoneticPr fontId="2"/>
  </si>
  <si>
    <r>
      <t>3:</t>
    </r>
    <r>
      <rPr>
        <sz val="11"/>
        <rFont val="ＭＳ Ｐゴシック"/>
        <family val="3"/>
        <charset val="128"/>
      </rPr>
      <t>木村・井上式　</t>
    </r>
    <r>
      <rPr>
        <sz val="11"/>
        <rFont val="Arial"/>
        <family val="2"/>
      </rPr>
      <t>OK</t>
    </r>
    <rPh sb="2" eb="4">
      <t>キムラ</t>
    </rPh>
    <rPh sb="5" eb="7">
      <t>イノウエ</t>
    </rPh>
    <rPh sb="7" eb="8">
      <t>シキ</t>
    </rPh>
    <phoneticPr fontId="2"/>
  </si>
  <si>
    <r>
      <t>4:</t>
    </r>
    <r>
      <rPr>
        <sz val="11"/>
        <rFont val="ＭＳ Ｐゴシック"/>
        <family val="3"/>
        <charset val="128"/>
      </rPr>
      <t>空欄の場合</t>
    </r>
    <rPh sb="2" eb="4">
      <t>クウラン</t>
    </rPh>
    <rPh sb="5" eb="7">
      <t>バアイ</t>
    </rPh>
    <phoneticPr fontId="2"/>
  </si>
  <si>
    <t>ＯＫ：3点以上</t>
    <rPh sb="4" eb="7">
      <t>テンイジョウ</t>
    </rPh>
    <phoneticPr fontId="2"/>
  </si>
  <si>
    <t>ＮＧ：3点未満</t>
    <rPh sb="4" eb="5">
      <t>テン</t>
    </rPh>
    <rPh sb="5" eb="7">
      <t>ミマン</t>
    </rPh>
    <phoneticPr fontId="2"/>
  </si>
  <si>
    <t>加振点</t>
    <rPh sb="0" eb="2">
      <t>カシン</t>
    </rPh>
    <rPh sb="2" eb="3">
      <t>テン</t>
    </rPh>
    <phoneticPr fontId="2"/>
  </si>
  <si>
    <t>上昇量種別</t>
    <rPh sb="0" eb="2">
      <t>ジョウショウ</t>
    </rPh>
    <rPh sb="2" eb="3">
      <t>リョウ</t>
    </rPh>
    <rPh sb="3" eb="5">
      <t>シュベツ</t>
    </rPh>
    <phoneticPr fontId="2"/>
  </si>
  <si>
    <t>受音室</t>
    <rPh sb="0" eb="2">
      <t>ジュオン</t>
    </rPh>
    <rPh sb="2" eb="3">
      <t>シツ</t>
    </rPh>
    <phoneticPr fontId="2"/>
  </si>
  <si>
    <t>総合判定</t>
    <rPh sb="0" eb="2">
      <t>ソウゴウ</t>
    </rPh>
    <rPh sb="2" eb="4">
      <t>ハンテイ</t>
    </rPh>
    <phoneticPr fontId="2"/>
  </si>
  <si>
    <t>計算判定</t>
    <rPh sb="0" eb="2">
      <t>ケイサン</t>
    </rPh>
    <rPh sb="2" eb="4">
      <t>ハンテイ</t>
    </rPh>
    <phoneticPr fontId="2"/>
  </si>
  <si>
    <t>※計算値は，実測値に対して±5dBの範囲におおよそ97%分布します。</t>
    <phoneticPr fontId="2"/>
  </si>
  <si>
    <t>スラブ断面種別</t>
    <rPh sb="3" eb="5">
      <t>ダンメン</t>
    </rPh>
    <rPh sb="5" eb="7">
      <t>シュベツ</t>
    </rPh>
    <phoneticPr fontId="2"/>
  </si>
  <si>
    <r>
      <t xml:space="preserve">   2.</t>
    </r>
    <r>
      <rPr>
        <sz val="11"/>
        <rFont val="ＭＳ Ｐゴシック"/>
        <family val="3"/>
        <charset val="128"/>
      </rPr>
      <t>矩形中空合成スラブ</t>
    </r>
    <rPh sb="5" eb="7">
      <t>クケイ</t>
    </rPh>
    <rPh sb="7" eb="9">
      <t>チュウクウ</t>
    </rPh>
    <rPh sb="9" eb="11">
      <t>ゴウセイ</t>
    </rPh>
    <phoneticPr fontId="2"/>
  </si>
  <si>
    <r>
      <t xml:space="preserve">   5.</t>
    </r>
    <r>
      <rPr>
        <sz val="11"/>
        <rFont val="ＭＳ Ｐゴシック"/>
        <family val="3"/>
        <charset val="128"/>
      </rPr>
      <t>円形中空スラブ</t>
    </r>
    <rPh sb="5" eb="7">
      <t>エンケイ</t>
    </rPh>
    <rPh sb="7" eb="9">
      <t>チュウクウ</t>
    </rPh>
    <phoneticPr fontId="2"/>
  </si>
  <si>
    <t>※室内の平均吸音率は，計算対象スラブの1次固有振動数が125Hz帯域の場合は0.2，63Hz帯域以下の場合は竣工時の</t>
    <rPh sb="1" eb="3">
      <t>シツナイ</t>
    </rPh>
    <rPh sb="4" eb="6">
      <t>ヘイキン</t>
    </rPh>
    <rPh sb="6" eb="8">
      <t>キュウオン</t>
    </rPh>
    <rPh sb="8" eb="9">
      <t>リツ</t>
    </rPh>
    <rPh sb="11" eb="13">
      <t>ケイサン</t>
    </rPh>
    <rPh sb="13" eb="15">
      <t>タイショウ</t>
    </rPh>
    <rPh sb="20" eb="21">
      <t>ジ</t>
    </rPh>
    <rPh sb="21" eb="23">
      <t>コユウ</t>
    </rPh>
    <rPh sb="23" eb="26">
      <t>シンドウスウ</t>
    </rPh>
    <rPh sb="32" eb="34">
      <t>タイイキ</t>
    </rPh>
    <rPh sb="35" eb="37">
      <t>バアイ</t>
    </rPh>
    <rPh sb="46" eb="48">
      <t>タイイキ</t>
    </rPh>
    <rPh sb="48" eb="50">
      <t>イカ</t>
    </rPh>
    <rPh sb="51" eb="53">
      <t>バアイ</t>
    </rPh>
    <rPh sb="54" eb="57">
      <t>シュンコウジ</t>
    </rPh>
    <phoneticPr fontId="2"/>
  </si>
  <si>
    <t>　日本建築学会編：建物の遮音設計資料，技報堂出版，1988.8</t>
    <rPh sb="9" eb="11">
      <t>タテモノ</t>
    </rPh>
    <rPh sb="12" eb="14">
      <t>シャオン</t>
    </rPh>
    <rPh sb="14" eb="16">
      <t>セッケイ</t>
    </rPh>
    <rPh sb="16" eb="18">
      <t>シリョウ</t>
    </rPh>
    <rPh sb="19" eb="20">
      <t>ワザ</t>
    </rPh>
    <rPh sb="20" eb="21">
      <t>ホウ</t>
    </rPh>
    <rPh sb="21" eb="22">
      <t>ドウ</t>
    </rPh>
    <rPh sb="22" eb="24">
      <t>シュッパン</t>
    </rPh>
    <phoneticPr fontId="2"/>
  </si>
  <si>
    <t>中間柱</t>
    <rPh sb="0" eb="3">
      <t>チュウカンバシラ</t>
    </rPh>
    <phoneticPr fontId="2"/>
  </si>
  <si>
    <t>中間柱の有無</t>
    <rPh sb="0" eb="3">
      <t>チュウカンバシラ</t>
    </rPh>
    <rPh sb="4" eb="6">
      <t>ウム</t>
    </rPh>
    <phoneticPr fontId="2"/>
  </si>
  <si>
    <t>h</t>
  </si>
  <si>
    <t>Sx</t>
  </si>
  <si>
    <t>ha</t>
  </si>
  <si>
    <t>S</t>
  </si>
  <si>
    <t>hb</t>
  </si>
  <si>
    <t>y0</t>
  </si>
  <si>
    <t>hc</t>
  </si>
  <si>
    <t>B</t>
  </si>
  <si>
    <t>BB</t>
  </si>
  <si>
    <t>BC</t>
  </si>
  <si>
    <t>I</t>
  </si>
  <si>
    <t>he</t>
  </si>
  <si>
    <r>
      <t>6)</t>
    </r>
    <r>
      <rPr>
        <sz val="8"/>
        <rFont val="ＭＳ Ｐゴシック"/>
        <family val="3"/>
        <charset val="128"/>
      </rPr>
      <t>サイレント</t>
    </r>
    <r>
      <rPr>
        <sz val="8"/>
        <rFont val="Arial"/>
        <family val="2"/>
      </rPr>
      <t>LFR</t>
    </r>
    <r>
      <rPr>
        <sz val="8"/>
        <rFont val="ＭＳ Ｐゴシック"/>
        <family val="3"/>
        <charset val="128"/>
      </rPr>
      <t>の場合</t>
    </r>
    <rPh sb="11" eb="13">
      <t>バアイ</t>
    </rPh>
    <phoneticPr fontId="2"/>
  </si>
  <si>
    <r>
      <rPr>
        <sz val="10"/>
        <rFont val="ＭＳ Ｐゴシック"/>
        <family val="3"/>
        <charset val="128"/>
      </rPr>
      <t>音・熱環境研究会</t>
    </r>
    <r>
      <rPr>
        <sz val="11"/>
        <rFont val="Arial"/>
        <family val="2"/>
      </rPr>
      <t xml:space="preserve"> ver3.3</t>
    </r>
    <rPh sb="0" eb="1">
      <t>オト</t>
    </rPh>
    <rPh sb="2" eb="3">
      <t>ネツ</t>
    </rPh>
    <rPh sb="3" eb="5">
      <t>カンキョウ</t>
    </rPh>
    <rPh sb="5" eb="8">
      <t>ケンキュウカイ</t>
    </rPh>
    <phoneticPr fontId="2"/>
  </si>
  <si>
    <r>
      <t>1</t>
    </r>
    <r>
      <rPr>
        <sz val="9"/>
        <rFont val="ＭＳ Ｐゴシック"/>
        <family val="3"/>
        <charset val="128"/>
      </rPr>
      <t>次固有振動数が</t>
    </r>
    <r>
      <rPr>
        <sz val="9"/>
        <rFont val="Arial"/>
        <family val="2"/>
      </rPr>
      <t>250Hz</t>
    </r>
    <r>
      <rPr>
        <sz val="9"/>
        <rFont val="ＭＳ Ｐゴシック"/>
        <family val="3"/>
        <charset val="128"/>
      </rPr>
      <t>帯域以上の場合は計算対象範囲外です。</t>
    </r>
    <rPh sb="1" eb="7">
      <t>ジコユウシンドウスウ</t>
    </rPh>
    <rPh sb="13" eb="15">
      <t>タイイキ</t>
    </rPh>
    <rPh sb="15" eb="17">
      <t>イジョウ</t>
    </rPh>
    <rPh sb="18" eb="20">
      <t>バアイ</t>
    </rPh>
    <rPh sb="21" eb="28">
      <t>ケイサンタイショウハンイガイ</t>
    </rPh>
    <phoneticPr fontId="2"/>
  </si>
  <si>
    <r>
      <t>63Hz</t>
    </r>
    <r>
      <rPr>
        <sz val="9"/>
        <rFont val="ＭＳ Ｐゴシック"/>
        <family val="3"/>
        <charset val="128"/>
      </rPr>
      <t>帯域</t>
    </r>
    <rPh sb="4" eb="6">
      <t>タイイキ</t>
    </rPh>
    <phoneticPr fontId="2"/>
  </si>
  <si>
    <r>
      <t>16</t>
    </r>
    <r>
      <rPr>
        <sz val="9"/>
        <rFont val="ＭＳ Ｐゴシック"/>
        <family val="3"/>
        <charset val="128"/>
      </rPr>
      <t>・</t>
    </r>
    <r>
      <rPr>
        <sz val="9"/>
        <rFont val="Arial"/>
        <family val="2"/>
      </rPr>
      <t>31.5Hz</t>
    </r>
    <r>
      <rPr>
        <sz val="9"/>
        <rFont val="ＭＳ Ｐゴシック"/>
        <family val="3"/>
        <charset val="128"/>
      </rPr>
      <t>帯域</t>
    </r>
    <rPh sb="9" eb="11">
      <t>タイイキ</t>
    </rPh>
    <phoneticPr fontId="2"/>
  </si>
  <si>
    <r>
      <t>125Hz</t>
    </r>
    <r>
      <rPr>
        <sz val="9"/>
        <rFont val="ＭＳ Ｐゴシック"/>
        <family val="3"/>
        <charset val="128"/>
      </rPr>
      <t>帯域</t>
    </r>
    <rPh sb="5" eb="7">
      <t>タイイキ</t>
    </rPh>
    <phoneticPr fontId="2"/>
  </si>
  <si>
    <r>
      <t>250Hz</t>
    </r>
    <r>
      <rPr>
        <sz val="9"/>
        <rFont val="ＭＳ Ｐゴシック"/>
        <family val="3"/>
        <charset val="128"/>
      </rPr>
      <t>帯域</t>
    </r>
    <rPh sb="5" eb="7">
      <t>タイイキ</t>
    </rPh>
    <phoneticPr fontId="2"/>
  </si>
  <si>
    <t>1次固有振動数が125Hz帯域の場合は木村・井上式（1988）での計算です。</t>
    <rPh sb="1" eb="7">
      <t>ジコユウシンドウスウ</t>
    </rPh>
    <rPh sb="13" eb="15">
      <t>タイイキ</t>
    </rPh>
    <rPh sb="16" eb="18">
      <t>バアイ</t>
    </rPh>
    <rPh sb="19" eb="21">
      <t>キムラ</t>
    </rPh>
    <rPh sb="22" eb="25">
      <t>イノウエシキ</t>
    </rPh>
    <rPh sb="33" eb="35">
      <t>ケイサン</t>
    </rPh>
    <phoneticPr fontId="2"/>
  </si>
  <si>
    <r>
      <t>3</t>
    </r>
    <r>
      <rPr>
        <sz val="10.5"/>
        <rFont val="ＭＳ Ｐゴシック"/>
        <family val="3"/>
        <charset val="128"/>
      </rPr>
      <t>）密度</t>
    </r>
    <rPh sb="2" eb="4">
      <t>ミツド</t>
    </rPh>
    <phoneticPr fontId="2"/>
  </si>
  <si>
    <r>
      <t>kg/m</t>
    </r>
    <r>
      <rPr>
        <vertAlign val="superscript"/>
        <sz val="10.5"/>
        <color indexed="8"/>
        <rFont val="Arial"/>
        <family val="2"/>
      </rPr>
      <t>3</t>
    </r>
    <phoneticPr fontId="2"/>
  </si>
  <si>
    <r>
      <t>4</t>
    </r>
    <r>
      <rPr>
        <sz val="10.5"/>
        <rFont val="ＭＳ Ｐゴシック"/>
        <family val="3"/>
        <charset val="128"/>
      </rPr>
      <t>）ヤング率</t>
    </r>
    <rPh sb="5" eb="6">
      <t>リツ</t>
    </rPh>
    <phoneticPr fontId="2"/>
  </si>
  <si>
    <r>
      <t>N/m</t>
    </r>
    <r>
      <rPr>
        <vertAlign val="superscript"/>
        <sz val="10.5"/>
        <color indexed="8"/>
        <rFont val="Arial"/>
        <family val="2"/>
      </rPr>
      <t>2</t>
    </r>
    <phoneticPr fontId="2"/>
  </si>
  <si>
    <t xml:space="preserve">   3.穴あきPC板合成スラブ</t>
    <rPh sb="5" eb="6">
      <t>アナ</t>
    </rPh>
    <rPh sb="10" eb="11">
      <t>イタ</t>
    </rPh>
    <rPh sb="11" eb="13">
      <t>ゴウセイ</t>
    </rPh>
    <phoneticPr fontId="2"/>
  </si>
  <si>
    <t xml:space="preserve">   4.ハーフPCa合成スラブ</t>
    <rPh sb="11" eb="13">
      <t>ゴウセイ</t>
    </rPh>
    <phoneticPr fontId="2"/>
  </si>
  <si>
    <t>スラブの断面構造種類</t>
    <rPh sb="4" eb="10">
      <t>ダンメンコウゾウシュルイ</t>
    </rPh>
    <phoneticPr fontId="2"/>
  </si>
  <si>
    <t>面積</t>
    <rPh sb="0" eb="2">
      <t>メンセキ</t>
    </rPh>
    <phoneticPr fontId="2"/>
  </si>
  <si>
    <r>
      <rPr>
        <b/>
        <sz val="10"/>
        <rFont val="ＭＳ Ｐゴシック"/>
        <family val="3"/>
        <charset val="128"/>
      </rPr>
      <t xml:space="preserve">予測計算対象範囲（予測計算対象範囲外の場合は結果が表示されません。）
</t>
    </r>
    <r>
      <rPr>
        <sz val="10"/>
        <rFont val="ＭＳ Ｐゴシック"/>
        <family val="3"/>
        <charset val="128"/>
      </rPr>
      <t>スラブ厚およびスラブ支配面積の下記範囲を共に満たすことを条件とする。
　スラブ厚　1次固有振動数が31.5Hz帯域以下の場合　　　150mm≦スラブ厚≦320mm （320mm＜スラブ厚≦350mm は参考値）　　　　　　
　　　　 　 　  1次固有振動数が63Hz帯域に含まれる場合 　150mm≦スラブ厚≦300mm
　スラブ支配面積　 13m</t>
    </r>
    <r>
      <rPr>
        <vertAlign val="superscript"/>
        <sz val="10"/>
        <rFont val="ＭＳ Ｐゴシック"/>
        <family val="3"/>
        <charset val="128"/>
      </rPr>
      <t>2</t>
    </r>
    <r>
      <rPr>
        <sz val="10"/>
        <rFont val="ＭＳ Ｐゴシック"/>
        <family val="3"/>
        <charset val="128"/>
      </rPr>
      <t>≦スラブ支配面積≦86m</t>
    </r>
    <r>
      <rPr>
        <vertAlign val="superscript"/>
        <sz val="10"/>
        <rFont val="ＭＳ Ｐゴシック"/>
        <family val="3"/>
        <charset val="128"/>
      </rPr>
      <t>2</t>
    </r>
    <r>
      <rPr>
        <sz val="10"/>
        <rFont val="ＭＳ Ｐゴシック"/>
        <family val="3"/>
        <charset val="128"/>
      </rPr>
      <t xml:space="preserve"> （スラブ支配面積＜13m</t>
    </r>
    <r>
      <rPr>
        <vertAlign val="superscript"/>
        <sz val="10"/>
        <rFont val="ＭＳ Ｐゴシック"/>
        <family val="3"/>
        <charset val="128"/>
      </rPr>
      <t>2</t>
    </r>
    <r>
      <rPr>
        <sz val="10"/>
        <rFont val="ＭＳ Ｐゴシック"/>
        <family val="3"/>
        <charset val="128"/>
      </rPr>
      <t>，86m</t>
    </r>
    <r>
      <rPr>
        <vertAlign val="superscript"/>
        <sz val="10"/>
        <rFont val="ＭＳ Ｐゴシック"/>
        <family val="3"/>
        <charset val="128"/>
      </rPr>
      <t>2</t>
    </r>
    <r>
      <rPr>
        <sz val="10"/>
        <rFont val="ＭＳ Ｐゴシック"/>
        <family val="3"/>
        <charset val="128"/>
      </rPr>
      <t>＜スラブ支配面積 は参考値）　
ただし，
　・1次固有振動数が125Hz帯域の場合は木村・井上式（1988）による計算
　・1次固有振動数が250Hz帯域の場合は計算不可</t>
    </r>
    <rPh sb="0" eb="2">
      <t>ヨソク</t>
    </rPh>
    <rPh sb="2" eb="8">
      <t>ケイサンタイショウハンイ</t>
    </rPh>
    <rPh sb="9" eb="18">
      <t>ヨソクケイサンタイショウハンイガイ</t>
    </rPh>
    <rPh sb="19" eb="21">
      <t>バアイ</t>
    </rPh>
    <rPh sb="22" eb="24">
      <t>ケッカ</t>
    </rPh>
    <rPh sb="25" eb="27">
      <t>ヒョウジ</t>
    </rPh>
    <rPh sb="38" eb="39">
      <t>アツ</t>
    </rPh>
    <rPh sb="45" eb="49">
      <t>シハイメンセキ</t>
    </rPh>
    <rPh sb="50" eb="52">
      <t>カキ</t>
    </rPh>
    <rPh sb="52" eb="54">
      <t>ハンイ</t>
    </rPh>
    <rPh sb="55" eb="56">
      <t>トモ</t>
    </rPh>
    <rPh sb="57" eb="58">
      <t>ミ</t>
    </rPh>
    <rPh sb="109" eb="110">
      <t>アツ</t>
    </rPh>
    <rPh sb="127" eb="128">
      <t>アツ</t>
    </rPh>
    <rPh sb="136" eb="139">
      <t>サンコウチ</t>
    </rPh>
    <rPh sb="215" eb="219">
      <t>シハイメンセキ</t>
    </rPh>
    <rPh sb="247" eb="251">
      <t>シハイメンセキ</t>
    </rPh>
    <rPh sb="267" eb="273">
      <t>ジコユウシンドウスウ</t>
    </rPh>
    <rPh sb="279" eb="281">
      <t>タイイキ</t>
    </rPh>
    <rPh sb="282" eb="284">
      <t>バアイ</t>
    </rPh>
    <rPh sb="285" eb="287">
      <t>キムラ</t>
    </rPh>
    <rPh sb="288" eb="291">
      <t>イノウエシキ</t>
    </rPh>
    <rPh sb="300" eb="302">
      <t>ケイサン</t>
    </rPh>
    <rPh sb="306" eb="312">
      <t>ジコユウシンドウスウ</t>
    </rPh>
    <rPh sb="318" eb="320">
      <t>タイイキ</t>
    </rPh>
    <rPh sb="321" eb="323">
      <t>バアイ</t>
    </rPh>
    <rPh sb="324" eb="328">
      <t>ケイサンフカ</t>
    </rPh>
    <phoneticPr fontId="2"/>
  </si>
  <si>
    <r>
      <t>予測計算対象範囲はスラブ厚</t>
    </r>
    <r>
      <rPr>
        <sz val="9"/>
        <rFont val="Arial"/>
        <family val="2"/>
      </rPr>
      <t>150mm</t>
    </r>
    <r>
      <rPr>
        <sz val="9"/>
        <rFont val="ＭＳ Ｐゴシック"/>
        <family val="3"/>
        <charset val="128"/>
      </rPr>
      <t>～</t>
    </r>
    <r>
      <rPr>
        <sz val="9"/>
        <rFont val="Arial"/>
        <family val="2"/>
      </rPr>
      <t>300mm</t>
    </r>
    <r>
      <rPr>
        <sz val="9"/>
        <rFont val="ＭＳ Ｐゴシック"/>
        <family val="3"/>
        <charset val="128"/>
      </rPr>
      <t>，スラブ面積</t>
    </r>
    <r>
      <rPr>
        <sz val="9"/>
        <rFont val="Arial"/>
        <family val="2"/>
      </rPr>
      <t xml:space="preserve"> 13</t>
    </r>
    <r>
      <rPr>
        <sz val="9"/>
        <rFont val="ＭＳ Ｐゴシック"/>
        <family val="3"/>
        <charset val="128"/>
      </rPr>
      <t>～</t>
    </r>
    <r>
      <rPr>
        <sz val="9"/>
        <rFont val="Arial"/>
        <family val="2"/>
      </rPr>
      <t>86</t>
    </r>
    <r>
      <rPr>
        <sz val="9"/>
        <rFont val="ＭＳ Ｐゴシック"/>
        <family val="3"/>
        <charset val="128"/>
      </rPr>
      <t>㎡（</t>
    </r>
    <r>
      <rPr>
        <sz val="9"/>
        <rFont val="Arial"/>
        <family val="2"/>
      </rPr>
      <t>86</t>
    </r>
    <r>
      <rPr>
        <sz val="9"/>
        <rFont val="ＭＳ Ｐゴシック"/>
        <family val="3"/>
        <charset val="128"/>
      </rPr>
      <t>㎡を超える場合はは参考値）です。</t>
    </r>
    <phoneticPr fontId="2"/>
  </si>
  <si>
    <r>
      <t>予測計算対象範囲はスラブ厚</t>
    </r>
    <r>
      <rPr>
        <sz val="9"/>
        <rFont val="Arial"/>
        <family val="2"/>
      </rPr>
      <t>150mm</t>
    </r>
    <r>
      <rPr>
        <sz val="9"/>
        <rFont val="ＭＳ Ｐゴシック"/>
        <family val="3"/>
        <charset val="128"/>
      </rPr>
      <t>～</t>
    </r>
    <r>
      <rPr>
        <sz val="9"/>
        <rFont val="Arial"/>
        <family val="2"/>
      </rPr>
      <t>320mm</t>
    </r>
    <r>
      <rPr>
        <sz val="9"/>
        <rFont val="ＭＳ Ｐゴシック"/>
        <family val="3"/>
        <charset val="128"/>
      </rPr>
      <t>（</t>
    </r>
    <r>
      <rPr>
        <sz val="9"/>
        <rFont val="Arial"/>
        <family val="2"/>
      </rPr>
      <t>320</t>
    </r>
    <r>
      <rPr>
        <sz val="9"/>
        <rFont val="ＭＳ Ｐゴシック"/>
        <family val="3"/>
        <charset val="128"/>
      </rPr>
      <t>～</t>
    </r>
    <r>
      <rPr>
        <sz val="9"/>
        <rFont val="Arial"/>
        <family val="2"/>
      </rPr>
      <t>350mm</t>
    </r>
    <r>
      <rPr>
        <sz val="9"/>
        <rFont val="ＭＳ Ｐゴシック"/>
        <family val="3"/>
        <charset val="128"/>
      </rPr>
      <t>は参考値），スラブ面積</t>
    </r>
    <r>
      <rPr>
        <sz val="9"/>
        <rFont val="Arial"/>
        <family val="2"/>
      </rPr>
      <t xml:space="preserve"> 13</t>
    </r>
    <r>
      <rPr>
        <sz val="9"/>
        <rFont val="ＭＳ Ｐゴシック"/>
        <family val="3"/>
        <charset val="128"/>
      </rPr>
      <t>～</t>
    </r>
    <r>
      <rPr>
        <sz val="9"/>
        <rFont val="Arial"/>
        <family val="2"/>
      </rPr>
      <t>86</t>
    </r>
    <r>
      <rPr>
        <sz val="9"/>
        <rFont val="ＭＳ Ｐゴシック"/>
        <family val="3"/>
        <charset val="128"/>
      </rPr>
      <t>㎡（</t>
    </r>
    <r>
      <rPr>
        <sz val="9"/>
        <rFont val="Arial"/>
        <family val="2"/>
      </rPr>
      <t>86</t>
    </r>
    <r>
      <rPr>
        <sz val="9"/>
        <rFont val="ＭＳ Ｐゴシック"/>
        <family val="3"/>
        <charset val="128"/>
      </rPr>
      <t>㎡を超える場合は参考値）です。</t>
    </r>
    <rPh sb="35" eb="38">
      <t>サンコウチ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</si>
</sst>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 #,##0_ ;_ * \-#,##0_ ;_ * &quot;-&quot;_ ;_ @_ "/>
    <numFmt numFmtId="176" formatCode="0.0_ "/>
    <numFmt numFmtId="177" formatCode="0_ "/>
    <numFmt numFmtId="178" formatCode="0.000_ "/>
    <numFmt numFmtId="179" formatCode="0.00_ "/>
    <numFmt numFmtId="180" formatCode="0.0000000_ "/>
    <numFmt numFmtId="181" formatCode="0_);[Red]\(0\)"/>
    <numFmt numFmtId="182" formatCode="0.0000000_);[Red]\(0.0000000\)"/>
    <numFmt numFmtId="183" formatCode="0.0;_Ā"/>
    <numFmt numFmtId="184" formatCode="0.0_);[Red]\(0.0\)"/>
    <numFmt numFmtId="185" formatCode="#,##0_ "/>
    <numFmt numFmtId="186" formatCode="0.000_);[Red]\(0.000\)"/>
  </numFmts>
  <fonts count="68" x14ac:knownFonts="1">
    <font>
      <sz val="10"/>
      <name val="Arial"/>
      <family val="2"/>
    </font>
    <font>
      <sz val="10"/>
      <name val="Arial"/>
      <family val="2"/>
    </font>
    <font>
      <sz val="6"/>
      <name val="ＭＳ Ｐゴシック"/>
      <family val="3"/>
      <charset val="128"/>
    </font>
    <font>
      <sz val="14"/>
      <name val="Arial"/>
      <family val="2"/>
    </font>
    <font>
      <sz val="10"/>
      <name val="ＭＳ Ｐゴシック"/>
      <family val="3"/>
      <charset val="128"/>
    </font>
    <font>
      <sz val="10"/>
      <name val="Arial"/>
      <family val="2"/>
    </font>
    <font>
      <sz val="11"/>
      <name val="Arial"/>
      <family val="2"/>
    </font>
    <font>
      <sz val="11"/>
      <name val="ＭＳ Ｐゴシック"/>
      <family val="3"/>
      <charset val="128"/>
    </font>
    <font>
      <sz val="11"/>
      <color indexed="8"/>
      <name val="Arial"/>
      <family val="2"/>
    </font>
    <font>
      <sz val="10"/>
      <name val="Arial"/>
      <family val="2"/>
    </font>
    <font>
      <b/>
      <sz val="12"/>
      <name val="ＭＳ Ｐゴシック"/>
      <family val="3"/>
      <charset val="128"/>
    </font>
    <font>
      <sz val="9"/>
      <name val="Arial"/>
      <family val="2"/>
    </font>
    <font>
      <sz val="8"/>
      <name val="ＭＳ Ｐゴシック"/>
      <family val="3"/>
      <charset val="128"/>
    </font>
    <font>
      <sz val="9"/>
      <name val="ＭＳ Ｐゴシック"/>
      <family val="3"/>
      <charset val="128"/>
    </font>
    <font>
      <sz val="8"/>
      <name val="Arial"/>
      <family val="2"/>
    </font>
    <font>
      <sz val="8"/>
      <color indexed="8"/>
      <name val="ＭＳ Ｐゴシック"/>
      <family val="3"/>
      <charset val="128"/>
    </font>
    <font>
      <sz val="8"/>
      <color indexed="8"/>
      <name val="Arial"/>
      <family val="2"/>
    </font>
    <font>
      <vertAlign val="superscript"/>
      <sz val="8"/>
      <color indexed="8"/>
      <name val="Arial"/>
      <family val="2"/>
    </font>
    <font>
      <sz val="8"/>
      <color indexed="10"/>
      <name val="ＭＳ Ｐゴシック"/>
      <family val="3"/>
      <charset val="128"/>
    </font>
    <font>
      <sz val="8"/>
      <color indexed="10"/>
      <name val="Arial"/>
      <family val="2"/>
    </font>
    <font>
      <vertAlign val="superscript"/>
      <sz val="8"/>
      <name val="Arial"/>
      <family val="2"/>
    </font>
    <font>
      <vertAlign val="subscript"/>
      <sz val="8"/>
      <name val="Arial"/>
      <family val="2"/>
    </font>
    <font>
      <sz val="12"/>
      <name val="ＭＳ Ｐゴシック"/>
      <family val="3"/>
      <charset val="128"/>
    </font>
    <font>
      <vertAlign val="superscript"/>
      <sz val="11"/>
      <name val="ＭＳ Ｐゴシック"/>
      <family val="3"/>
      <charset val="128"/>
    </font>
    <font>
      <vertAlign val="superscript"/>
      <sz val="10"/>
      <name val="ＭＳ Ｐゴシック"/>
      <family val="3"/>
      <charset val="128"/>
    </font>
    <font>
      <vertAlign val="subscript"/>
      <sz val="11"/>
      <name val="ＭＳ Ｐゴシック"/>
      <family val="3"/>
      <charset val="128"/>
    </font>
    <font>
      <b/>
      <i/>
      <sz val="11"/>
      <name val="ＭＳ Ｐゴシック"/>
      <family val="3"/>
      <charset val="128"/>
    </font>
    <font>
      <sz val="10"/>
      <name val="Arial"/>
      <family val="2"/>
    </font>
    <font>
      <b/>
      <sz val="12"/>
      <name val="Arial"/>
      <family val="2"/>
    </font>
    <font>
      <sz val="8"/>
      <color indexed="42"/>
      <name val="Arial"/>
      <family val="2"/>
    </font>
    <font>
      <b/>
      <sz val="14"/>
      <color indexed="9"/>
      <name val="ＭＳ Ｐゴシック"/>
      <family val="3"/>
      <charset val="128"/>
    </font>
    <font>
      <b/>
      <sz val="12"/>
      <color indexed="9"/>
      <name val="ＭＳ Ｐゴシック"/>
      <family val="3"/>
      <charset val="128"/>
    </font>
    <font>
      <b/>
      <sz val="11"/>
      <color indexed="9"/>
      <name val="Arial"/>
      <family val="2"/>
    </font>
    <font>
      <b/>
      <sz val="11"/>
      <color indexed="10"/>
      <name val="ＭＳ Ｐゴシック"/>
      <family val="3"/>
      <charset val="128"/>
    </font>
    <font>
      <b/>
      <sz val="11"/>
      <color indexed="10"/>
      <name val="Arial"/>
      <family val="2"/>
    </font>
    <font>
      <sz val="11"/>
      <color indexed="12"/>
      <name val="ＭＳ Ｐゴシック"/>
      <family val="3"/>
      <charset val="128"/>
    </font>
    <font>
      <sz val="11"/>
      <color indexed="12"/>
      <name val="Arial"/>
      <family val="2"/>
    </font>
    <font>
      <sz val="10"/>
      <color indexed="12"/>
      <name val="Arial"/>
      <family val="2"/>
    </font>
    <font>
      <b/>
      <sz val="14"/>
      <color indexed="9"/>
      <name val="Arial"/>
      <family val="2"/>
    </font>
    <font>
      <sz val="9"/>
      <color indexed="12"/>
      <name val="ＭＳ Ｐゴシック"/>
      <family val="3"/>
      <charset val="128"/>
    </font>
    <font>
      <sz val="10"/>
      <color indexed="12"/>
      <name val="ＭＳ Ｐゴシック"/>
      <family val="3"/>
      <charset val="128"/>
    </font>
    <font>
      <b/>
      <sz val="10"/>
      <name val="Arial"/>
      <family val="2"/>
    </font>
    <font>
      <sz val="11"/>
      <name val="HGPｺﾞｼｯｸM"/>
      <family val="3"/>
      <charset val="128"/>
    </font>
    <font>
      <b/>
      <sz val="12"/>
      <color indexed="9"/>
      <name val="Arial"/>
      <family val="2"/>
    </font>
    <font>
      <vertAlign val="superscript"/>
      <sz val="11"/>
      <name val="Arial"/>
      <family val="2"/>
    </font>
    <font>
      <sz val="12"/>
      <color indexed="9"/>
      <name val="Arial"/>
      <family val="2"/>
    </font>
    <font>
      <sz val="24"/>
      <color indexed="22"/>
      <name val="ＭＳ Ｐゴシック"/>
      <family val="3"/>
      <charset val="128"/>
    </font>
    <font>
      <sz val="24"/>
      <name val="Arial"/>
      <family val="2"/>
    </font>
    <font>
      <sz val="8"/>
      <color indexed="23"/>
      <name val="Arial"/>
      <family val="2"/>
    </font>
    <font>
      <sz val="6"/>
      <name val="ＭＳ Ｐゴシック"/>
      <family val="2"/>
      <charset val="128"/>
      <scheme val="minor"/>
    </font>
    <font>
      <b/>
      <sz val="11"/>
      <color theme="1"/>
      <name val="ＭＳ Ｐゴシック"/>
      <family val="3"/>
      <charset val="128"/>
      <scheme val="minor"/>
    </font>
    <font>
      <b/>
      <sz val="11"/>
      <color indexed="9"/>
      <name val="ＭＳ Ｐゴシック"/>
      <family val="3"/>
      <charset val="128"/>
    </font>
    <font>
      <sz val="10"/>
      <color rgb="FF0000CC"/>
      <name val="ＭＳ Ｐゴシック"/>
      <family val="3"/>
      <charset val="128"/>
    </font>
    <font>
      <sz val="11"/>
      <name val="ＭＳ Ｐゴシック"/>
      <family val="3"/>
      <charset val="128"/>
      <scheme val="minor"/>
    </font>
    <font>
      <sz val="10"/>
      <color rgb="FF0000CC"/>
      <name val="ＭＳ Ｐゴシック"/>
      <family val="3"/>
      <charset val="128"/>
      <scheme val="minor"/>
    </font>
    <font>
      <sz val="11"/>
      <color rgb="FF0070C0"/>
      <name val="ＭＳ Ｐゴシック"/>
      <family val="3"/>
      <charset val="128"/>
    </font>
    <font>
      <sz val="11"/>
      <color rgb="FF0070C0"/>
      <name val="Arial"/>
      <family val="2"/>
    </font>
    <font>
      <sz val="10"/>
      <color rgb="FF0070C0"/>
      <name val="ＭＳ Ｐゴシック"/>
      <family val="3"/>
      <charset val="128"/>
    </font>
    <font>
      <b/>
      <sz val="11"/>
      <color rgb="FFFF0000"/>
      <name val="Arial"/>
      <family val="2"/>
    </font>
    <font>
      <sz val="10.5"/>
      <name val="Arial"/>
      <family val="2"/>
    </font>
    <font>
      <sz val="10.5"/>
      <name val="ＭＳ Ｐゴシック"/>
      <family val="3"/>
      <charset val="128"/>
    </font>
    <font>
      <sz val="10.5"/>
      <color indexed="8"/>
      <name val="Arial"/>
      <family val="2"/>
    </font>
    <font>
      <vertAlign val="superscript"/>
      <sz val="10.5"/>
      <color indexed="8"/>
      <name val="Arial"/>
      <family val="2"/>
    </font>
    <font>
      <sz val="11"/>
      <name val="ＭＳ Ｐゴシック"/>
      <family val="3"/>
      <charset val="128"/>
      <scheme val="major"/>
    </font>
    <font>
      <sz val="11"/>
      <color indexed="8"/>
      <name val="ＭＳ Ｐゴシック"/>
      <family val="3"/>
      <charset val="128"/>
      <scheme val="major"/>
    </font>
    <font>
      <b/>
      <sz val="10"/>
      <name val="ＭＳ Ｐゴシック"/>
      <family val="3"/>
      <charset val="128"/>
    </font>
    <font>
      <sz val="9"/>
      <color rgb="FF000000"/>
      <name val="Meiryo UI"/>
      <family val="3"/>
      <charset val="128"/>
    </font>
    <font>
      <b/>
      <sz val="8"/>
      <name val="Arial"/>
      <family val="2"/>
    </font>
  </fonts>
  <fills count="17">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63"/>
        <bgColor indexed="64"/>
      </patternFill>
    </fill>
    <fill>
      <patternFill patternType="solid">
        <fgColor indexed="45"/>
        <bgColor indexed="64"/>
      </patternFill>
    </fill>
    <fill>
      <patternFill patternType="solid">
        <fgColor indexed="8"/>
        <bgColor indexed="64"/>
      </patternFill>
    </fill>
    <fill>
      <patternFill patternType="solid">
        <fgColor indexed="43"/>
        <bgColor indexed="64"/>
      </patternFill>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8" tint="0.39997558519241921"/>
        <bgColor indexed="64"/>
      </patternFill>
    </fill>
  </fills>
  <borders count="1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dotted">
        <color indexed="64"/>
      </right>
      <top style="medium">
        <color indexed="64"/>
      </top>
      <bottom style="thin">
        <color indexed="64"/>
      </bottom>
      <diagonal/>
    </border>
    <border>
      <left style="medium">
        <color indexed="64"/>
      </left>
      <right style="medium">
        <color indexed="64"/>
      </right>
      <top/>
      <bottom/>
      <diagonal/>
    </border>
    <border>
      <left/>
      <right style="dotted">
        <color indexed="64"/>
      </right>
      <top/>
      <bottom/>
      <diagonal/>
    </border>
    <border>
      <left style="medium">
        <color indexed="64"/>
      </left>
      <right style="medium">
        <color indexed="64"/>
      </right>
      <top/>
      <bottom style="medium">
        <color indexed="64"/>
      </bottom>
      <diagonal/>
    </border>
    <border>
      <left/>
      <right style="dott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57"/>
      </top>
      <bottom/>
      <diagonal/>
    </border>
    <border>
      <left/>
      <right/>
      <top style="hair">
        <color indexed="57"/>
      </top>
      <bottom/>
      <diagonal/>
    </border>
    <border>
      <left/>
      <right style="thin">
        <color indexed="64"/>
      </right>
      <top style="hair">
        <color indexed="57"/>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hair">
        <color indexed="57"/>
      </top>
      <bottom/>
      <diagonal/>
    </border>
    <border>
      <left/>
      <right/>
      <top/>
      <bottom style="hair">
        <color indexed="57"/>
      </bottom>
      <diagonal/>
    </border>
    <border>
      <left/>
      <right style="medium">
        <color indexed="64"/>
      </right>
      <top/>
      <bottom style="hair">
        <color indexed="57"/>
      </bottom>
      <diagonal/>
    </border>
    <border>
      <left style="medium">
        <color indexed="64"/>
      </left>
      <right/>
      <top/>
      <bottom style="hair">
        <color indexed="57"/>
      </bottom>
      <diagonal/>
    </border>
    <border>
      <left/>
      <right style="thin">
        <color indexed="64"/>
      </right>
      <top/>
      <bottom style="hair">
        <color indexed="57"/>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medium">
        <color auto="1"/>
      </left>
      <right style="medium">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medium">
        <color indexed="64"/>
      </right>
      <top style="thin">
        <color indexed="64"/>
      </top>
      <bottom style="thin">
        <color indexed="64"/>
      </bottom>
      <diagonal/>
    </border>
    <border>
      <left style="medium">
        <color indexed="64"/>
      </left>
      <right style="thin">
        <color indexed="64"/>
      </right>
      <top style="thin">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thin">
        <color indexed="64"/>
      </right>
      <top style="thin">
        <color theme="0" tint="-0.24994659260841701"/>
      </top>
      <bottom/>
      <diagonal/>
    </border>
    <border>
      <left style="thin">
        <color indexed="64"/>
      </left>
      <right style="medium">
        <color indexed="64"/>
      </right>
      <top style="thin">
        <color theme="0" tint="-0.24994659260841701"/>
      </top>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top style="thin">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theme="0" tint="-0.24994659260841701"/>
      </top>
      <bottom/>
      <diagonal/>
    </border>
    <border>
      <left/>
      <right style="thin">
        <color indexed="64"/>
      </right>
      <top style="thin">
        <color theme="0" tint="-0.24994659260841701"/>
      </top>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style="thin">
        <color theme="0" tint="-0.14996795556505021"/>
      </top>
      <bottom/>
      <diagonal/>
    </border>
    <border>
      <left/>
      <right/>
      <top style="thin">
        <color theme="0" tint="-0.1499679555650502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medium">
        <color indexed="64"/>
      </right>
      <top style="medium">
        <color indexed="64"/>
      </top>
      <bottom/>
      <diagonal/>
    </border>
    <border>
      <left style="medium">
        <color indexed="64"/>
      </left>
      <right style="thin">
        <color auto="1"/>
      </right>
      <top style="medium">
        <color indexed="64"/>
      </top>
      <bottom/>
      <diagonal/>
    </border>
    <border>
      <left style="medium">
        <color indexed="64"/>
      </left>
      <right style="thin">
        <color indexed="64"/>
      </right>
      <top style="thin">
        <color theme="0" tint="-0.24994659260841701"/>
      </top>
      <bottom/>
      <diagonal/>
    </border>
    <border>
      <left style="thin">
        <color indexed="64"/>
      </left>
      <right/>
      <top style="thin">
        <color theme="0" tint="-0.24994659260841701"/>
      </top>
      <bottom/>
      <diagonal/>
    </border>
    <border>
      <left/>
      <right/>
      <top style="thin">
        <color theme="0" tint="-0.24994659260841701"/>
      </top>
      <bottom/>
      <diagonal/>
    </border>
    <border>
      <left style="medium">
        <color indexed="64"/>
      </left>
      <right style="thin">
        <color indexed="64"/>
      </right>
      <top/>
      <bottom style="thin">
        <color theme="0" tint="-0.24994659260841701"/>
      </bottom>
      <diagonal/>
    </border>
    <border>
      <left style="thin">
        <color indexed="64"/>
      </left>
      <right style="thin">
        <color indexed="64"/>
      </right>
      <top/>
      <bottom style="thin">
        <color theme="0" tint="-0.24994659260841701"/>
      </bottom>
      <diagonal/>
    </border>
    <border>
      <left style="medium">
        <color indexed="64"/>
      </left>
      <right style="thin">
        <color indexed="64"/>
      </right>
      <top style="thin">
        <color indexed="64"/>
      </top>
      <bottom/>
      <diagonal/>
    </border>
    <border>
      <left/>
      <right/>
      <top style="medium">
        <color indexed="64"/>
      </top>
      <bottom style="thin">
        <color theme="0" tint="-0.14996795556505021"/>
      </bottom>
      <diagonal/>
    </border>
    <border>
      <left/>
      <right style="medium">
        <color indexed="64"/>
      </right>
      <top style="medium">
        <color indexed="64"/>
      </top>
      <bottom style="thin">
        <color theme="0" tint="-0.14996795556505021"/>
      </bottom>
      <diagonal/>
    </border>
    <border>
      <left/>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style="thin">
        <color indexed="64"/>
      </left>
      <right/>
      <top style="medium">
        <color indexed="64"/>
      </top>
      <bottom style="thin">
        <color theme="0" tint="-0.24994659260841701"/>
      </bottom>
      <diagonal/>
    </border>
    <border>
      <left/>
      <right style="thin">
        <color indexed="64"/>
      </right>
      <top style="medium">
        <color indexed="64"/>
      </top>
      <bottom style="thin">
        <color theme="0" tint="-0.24994659260841701"/>
      </bottom>
      <diagonal/>
    </border>
    <border>
      <left style="thin">
        <color indexed="64"/>
      </left>
      <right/>
      <top style="thin">
        <color theme="0" tint="-0.24994659260841701"/>
      </top>
      <bottom style="medium">
        <color indexed="64"/>
      </bottom>
      <diagonal/>
    </border>
    <border>
      <left/>
      <right style="thin">
        <color indexed="64"/>
      </right>
      <top style="thin">
        <color theme="0" tint="-0.24994659260841701"/>
      </top>
      <bottom style="medium">
        <color indexed="64"/>
      </bottom>
      <diagonal/>
    </border>
  </borders>
  <cellStyleXfs count="3">
    <xf numFmtId="0" fontId="0" fillId="0" borderId="0">
      <alignment vertical="center"/>
    </xf>
    <xf numFmtId="0" fontId="7" fillId="0" borderId="0"/>
    <xf numFmtId="0" fontId="7" fillId="0" borderId="0"/>
  </cellStyleXfs>
  <cellXfs count="1340">
    <xf numFmtId="0" fontId="0" fillId="0" borderId="0" xfId="0">
      <alignment vertical="center"/>
    </xf>
    <xf numFmtId="0" fontId="5" fillId="0" borderId="0" xfId="0" applyFont="1">
      <alignment vertical="center"/>
    </xf>
    <xf numFmtId="0" fontId="3" fillId="0" borderId="0" xfId="0" applyFont="1">
      <alignment vertical="center"/>
    </xf>
    <xf numFmtId="0" fontId="6" fillId="0" borderId="0" xfId="0" applyFont="1">
      <alignment vertical="center"/>
    </xf>
    <xf numFmtId="0" fontId="9" fillId="0" borderId="0" xfId="0" applyFont="1" applyBorder="1">
      <alignment vertical="center"/>
    </xf>
    <xf numFmtId="0" fontId="9" fillId="0" borderId="0" xfId="0" applyFont="1">
      <alignment vertical="center"/>
    </xf>
    <xf numFmtId="0" fontId="12" fillId="0" borderId="0" xfId="0" applyFont="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3" fillId="0" borderId="0" xfId="0" applyFont="1" applyBorder="1" applyAlignment="1">
      <alignment vertical="center"/>
    </xf>
    <xf numFmtId="0" fontId="4" fillId="0" borderId="0" xfId="0" applyFont="1">
      <alignment vertical="center"/>
    </xf>
    <xf numFmtId="0" fontId="14" fillId="0" borderId="0" xfId="0" applyFont="1">
      <alignment vertical="center"/>
    </xf>
    <xf numFmtId="0" fontId="14" fillId="2" borderId="4" xfId="0" applyFont="1" applyFill="1" applyBorder="1">
      <alignment vertical="center"/>
    </xf>
    <xf numFmtId="0" fontId="16"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8" fillId="2" borderId="0" xfId="0" applyFont="1" applyFill="1" applyBorder="1">
      <alignment vertical="center"/>
    </xf>
    <xf numFmtId="177" fontId="19" fillId="2" borderId="5" xfId="0" applyNumberFormat="1" applyFont="1" applyFill="1" applyBorder="1">
      <alignment vertical="center"/>
    </xf>
    <xf numFmtId="0" fontId="19" fillId="2" borderId="5" xfId="0" applyFont="1" applyFill="1" applyBorder="1">
      <alignment vertical="center"/>
    </xf>
    <xf numFmtId="0" fontId="16" fillId="2" borderId="2" xfId="0" applyFont="1" applyFill="1" applyBorder="1" applyAlignment="1">
      <alignment vertical="center"/>
    </xf>
    <xf numFmtId="0" fontId="16" fillId="2" borderId="3" xfId="0" applyFont="1" applyFill="1" applyBorder="1" applyAlignment="1">
      <alignment vertical="center"/>
    </xf>
    <xf numFmtId="178" fontId="19" fillId="2" borderId="5" xfId="0" applyNumberFormat="1" applyFont="1" applyFill="1" applyBorder="1" applyAlignment="1">
      <alignment vertical="center"/>
    </xf>
    <xf numFmtId="0" fontId="16" fillId="2" borderId="5" xfId="0" applyFont="1" applyFill="1" applyBorder="1" applyAlignment="1">
      <alignment vertical="center"/>
    </xf>
    <xf numFmtId="0" fontId="14" fillId="2" borderId="0" xfId="0" applyFont="1" applyFill="1" applyBorder="1" applyAlignment="1">
      <alignment vertical="center"/>
    </xf>
    <xf numFmtId="0" fontId="14" fillId="2" borderId="8" xfId="0" applyFont="1" applyFill="1" applyBorder="1">
      <alignment vertical="center"/>
    </xf>
    <xf numFmtId="0" fontId="14" fillId="3" borderId="4" xfId="0" applyFont="1" applyFill="1" applyBorder="1">
      <alignment vertical="center"/>
    </xf>
    <xf numFmtId="0" fontId="14" fillId="3" borderId="8" xfId="0" applyFont="1" applyFill="1" applyBorder="1">
      <alignment vertical="center"/>
    </xf>
    <xf numFmtId="0" fontId="12" fillId="2" borderId="2" xfId="0" applyFont="1" applyFill="1" applyBorder="1">
      <alignment vertical="center"/>
    </xf>
    <xf numFmtId="176" fontId="14" fillId="2" borderId="0" xfId="0" applyNumberFormat="1" applyFont="1" applyFill="1" applyBorder="1">
      <alignment vertical="center"/>
    </xf>
    <xf numFmtId="178" fontId="14" fillId="2" borderId="9" xfId="0" applyNumberFormat="1" applyFont="1" applyFill="1" applyBorder="1">
      <alignment vertical="center"/>
    </xf>
    <xf numFmtId="176" fontId="14" fillId="2" borderId="9" xfId="0" applyNumberFormat="1" applyFont="1" applyFill="1" applyBorder="1">
      <alignment vertical="center"/>
    </xf>
    <xf numFmtId="0" fontId="14" fillId="2" borderId="9" xfId="0" applyFont="1" applyFill="1" applyBorder="1" applyAlignment="1">
      <alignment horizontal="right" vertical="center"/>
    </xf>
    <xf numFmtId="0" fontId="12" fillId="2" borderId="10" xfId="0" applyFont="1" applyFill="1" applyBorder="1">
      <alignment vertical="center"/>
    </xf>
    <xf numFmtId="0" fontId="14" fillId="2" borderId="11" xfId="0" applyFont="1" applyFill="1" applyBorder="1">
      <alignment vertical="center"/>
    </xf>
    <xf numFmtId="0" fontId="14" fillId="2" borderId="12" xfId="0" applyFont="1" applyFill="1" applyBorder="1">
      <alignment vertical="center"/>
    </xf>
    <xf numFmtId="0" fontId="14" fillId="2" borderId="13" xfId="0" applyFont="1" applyFill="1" applyBorder="1">
      <alignment vertical="center"/>
    </xf>
    <xf numFmtId="0" fontId="12" fillId="2" borderId="0"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8" xfId="0" applyFont="1" applyFill="1" applyBorder="1">
      <alignment vertical="center"/>
    </xf>
    <xf numFmtId="0" fontId="14" fillId="3" borderId="19" xfId="0" applyFont="1" applyFill="1" applyBorder="1" applyAlignment="1">
      <alignment horizontal="right" vertical="center"/>
    </xf>
    <xf numFmtId="178" fontId="14" fillId="2" borderId="18" xfId="0" applyNumberFormat="1" applyFont="1" applyFill="1" applyBorder="1" applyAlignment="1">
      <alignment horizontal="center" vertical="center"/>
    </xf>
    <xf numFmtId="0" fontId="14" fillId="2" borderId="18" xfId="0" applyFont="1" applyFill="1" applyBorder="1" applyAlignment="1">
      <alignment vertical="center"/>
    </xf>
    <xf numFmtId="179" fontId="14" fillId="2" borderId="18" xfId="0" applyNumberFormat="1" applyFont="1" applyFill="1" applyBorder="1" applyAlignment="1">
      <alignment horizontal="center" vertical="center"/>
    </xf>
    <xf numFmtId="0" fontId="14" fillId="2" borderId="19" xfId="0" applyFont="1" applyFill="1" applyBorder="1">
      <alignment vertical="center"/>
    </xf>
    <xf numFmtId="176" fontId="14" fillId="0" borderId="0" xfId="0" applyNumberFormat="1" applyFont="1">
      <alignment vertical="center"/>
    </xf>
    <xf numFmtId="0" fontId="14" fillId="2" borderId="20" xfId="0" applyFont="1" applyFill="1" applyBorder="1">
      <alignment vertical="center"/>
    </xf>
    <xf numFmtId="0" fontId="7" fillId="0" borderId="0" xfId="2" applyFont="1"/>
    <xf numFmtId="0" fontId="7" fillId="0" borderId="0" xfId="2"/>
    <xf numFmtId="0" fontId="22" fillId="0" borderId="0" xfId="2" applyFont="1" applyProtection="1"/>
    <xf numFmtId="0" fontId="7" fillId="0" borderId="0" xfId="2" applyFont="1" applyProtection="1"/>
    <xf numFmtId="0" fontId="7" fillId="0" borderId="0" xfId="2" applyFill="1" applyBorder="1"/>
    <xf numFmtId="0" fontId="7" fillId="0" borderId="0" xfId="2" applyProtection="1"/>
    <xf numFmtId="0" fontId="4" fillId="0" borderId="0" xfId="2" applyFont="1" applyProtection="1"/>
    <xf numFmtId="0" fontId="7" fillId="0" borderId="6" xfId="2" applyFill="1" applyBorder="1" applyProtection="1"/>
    <xf numFmtId="0" fontId="13" fillId="4" borderId="22" xfId="2" applyFont="1" applyFill="1" applyBorder="1" applyAlignment="1" applyProtection="1">
      <alignment horizontal="center" vertical="center"/>
    </xf>
    <xf numFmtId="0" fontId="13" fillId="4" borderId="23" xfId="2" applyFont="1" applyFill="1" applyBorder="1" applyAlignment="1" applyProtection="1">
      <alignment horizontal="center" vertical="center"/>
    </xf>
    <xf numFmtId="0" fontId="13" fillId="4" borderId="23" xfId="2" applyFont="1" applyFill="1" applyBorder="1" applyAlignment="1" applyProtection="1">
      <alignment horizontal="center" vertical="center" wrapText="1"/>
    </xf>
    <xf numFmtId="0" fontId="13" fillId="4" borderId="15" xfId="2" applyFont="1" applyFill="1" applyBorder="1" applyAlignment="1" applyProtection="1">
      <alignment horizontal="center" vertical="center" wrapText="1"/>
    </xf>
    <xf numFmtId="0" fontId="13" fillId="5" borderId="15" xfId="2" applyFont="1" applyFill="1" applyBorder="1" applyAlignment="1" applyProtection="1">
      <alignment horizontal="center" vertical="center" wrapText="1"/>
    </xf>
    <xf numFmtId="0" fontId="13" fillId="6" borderId="14" xfId="2" applyFont="1" applyFill="1" applyBorder="1" applyAlignment="1" applyProtection="1">
      <alignment horizontal="center" vertical="center" wrapText="1"/>
    </xf>
    <xf numFmtId="0" fontId="13" fillId="0" borderId="14" xfId="2" applyFont="1" applyBorder="1" applyAlignment="1" applyProtection="1">
      <alignment horizontal="center" vertical="center"/>
    </xf>
    <xf numFmtId="0" fontId="13" fillId="5" borderId="23" xfId="2" applyFont="1" applyFill="1" applyBorder="1" applyAlignment="1" applyProtection="1">
      <alignment horizontal="center" vertical="center" wrapText="1"/>
    </xf>
    <xf numFmtId="0" fontId="13" fillId="5" borderId="23" xfId="2" applyFont="1" applyFill="1" applyBorder="1" applyAlignment="1" applyProtection="1">
      <alignment horizontal="center" vertical="center"/>
    </xf>
    <xf numFmtId="0" fontId="13" fillId="6" borderId="23" xfId="2" applyFont="1" applyFill="1" applyBorder="1" applyAlignment="1" applyProtection="1">
      <alignment horizontal="center" vertical="center"/>
    </xf>
    <xf numFmtId="0" fontId="13" fillId="5" borderId="14" xfId="2" applyFont="1" applyFill="1" applyBorder="1" applyAlignment="1" applyProtection="1">
      <alignment horizontal="centerContinuous" vertical="center"/>
    </xf>
    <xf numFmtId="0" fontId="13" fillId="5" borderId="15" xfId="2" applyFont="1" applyFill="1" applyBorder="1" applyAlignment="1" applyProtection="1">
      <alignment horizontal="centerContinuous" vertical="center"/>
    </xf>
    <xf numFmtId="0" fontId="13" fillId="0" borderId="0" xfId="2" applyFont="1" applyAlignment="1">
      <alignment horizontal="center" vertical="center"/>
    </xf>
    <xf numFmtId="0" fontId="7" fillId="4" borderId="24" xfId="2" applyFill="1" applyBorder="1" applyProtection="1"/>
    <xf numFmtId="0" fontId="7" fillId="4" borderId="25" xfId="2" applyFont="1" applyFill="1" applyBorder="1" applyAlignment="1" applyProtection="1">
      <alignment horizontal="center"/>
    </xf>
    <xf numFmtId="0" fontId="7" fillId="4" borderId="5" xfId="2" applyFont="1" applyFill="1" applyBorder="1" applyAlignment="1" applyProtection="1">
      <alignment horizontal="center"/>
    </xf>
    <xf numFmtId="0" fontId="7" fillId="4" borderId="25" xfId="2" applyFill="1" applyBorder="1" applyAlignment="1" applyProtection="1">
      <alignment horizontal="center"/>
    </xf>
    <xf numFmtId="0" fontId="7" fillId="5" borderId="5" xfId="2" applyFont="1" applyFill="1" applyBorder="1" applyAlignment="1" applyProtection="1">
      <alignment horizontal="center"/>
    </xf>
    <xf numFmtId="0" fontId="7" fillId="6" borderId="0" xfId="2" applyFill="1" applyBorder="1" applyAlignment="1" applyProtection="1">
      <alignment horizontal="center"/>
    </xf>
    <xf numFmtId="0" fontId="7" fillId="5" borderId="25" xfId="2" applyFill="1" applyBorder="1" applyAlignment="1" applyProtection="1">
      <alignment horizontal="center"/>
    </xf>
    <xf numFmtId="0" fontId="7" fillId="5" borderId="25" xfId="2" applyFont="1" applyFill="1" applyBorder="1" applyAlignment="1" applyProtection="1">
      <alignment horizontal="center"/>
    </xf>
    <xf numFmtId="0" fontId="7" fillId="6" borderId="25" xfId="2" applyFill="1" applyBorder="1" applyAlignment="1" applyProtection="1">
      <alignment horizontal="center"/>
    </xf>
    <xf numFmtId="0" fontId="7" fillId="5" borderId="5" xfId="2" applyFill="1" applyBorder="1" applyAlignment="1" applyProtection="1">
      <alignment horizontal="center"/>
    </xf>
    <xf numFmtId="0" fontId="7" fillId="4" borderId="26" xfId="2" applyFill="1" applyBorder="1" applyAlignment="1" applyProtection="1">
      <alignment horizontal="center"/>
    </xf>
    <xf numFmtId="0" fontId="7" fillId="4" borderId="27" xfId="2" applyFill="1" applyBorder="1" applyAlignment="1" applyProtection="1">
      <alignment horizontal="center"/>
    </xf>
    <xf numFmtId="0" fontId="7" fillId="4" borderId="7" xfId="2" applyFill="1" applyBorder="1" applyAlignment="1" applyProtection="1">
      <alignment horizontal="center"/>
    </xf>
    <xf numFmtId="0" fontId="7" fillId="5" borderId="7" xfId="2" applyFill="1" applyBorder="1" applyAlignment="1" applyProtection="1">
      <alignment horizontal="center"/>
    </xf>
    <xf numFmtId="0" fontId="7" fillId="6" borderId="6" xfId="2" applyFill="1" applyBorder="1" applyAlignment="1" applyProtection="1">
      <alignment horizontal="center"/>
    </xf>
    <xf numFmtId="0" fontId="7" fillId="5" borderId="27" xfId="2" applyFill="1" applyBorder="1" applyAlignment="1" applyProtection="1">
      <alignment horizontal="center"/>
    </xf>
    <xf numFmtId="0" fontId="7" fillId="6" borderId="27" xfId="2" applyFill="1" applyBorder="1" applyAlignment="1" applyProtection="1">
      <alignment horizontal="center"/>
    </xf>
    <xf numFmtId="0" fontId="7" fillId="0" borderId="0" xfId="2" applyAlignment="1">
      <alignment horizontal="center"/>
    </xf>
    <xf numFmtId="0" fontId="7" fillId="4" borderId="24" xfId="2" applyFont="1" applyFill="1" applyBorder="1" applyAlignment="1" applyProtection="1">
      <alignment horizontal="center" vertical="center"/>
      <protection locked="0"/>
    </xf>
    <xf numFmtId="0" fontId="7" fillId="4" borderId="25" xfId="2" applyFill="1" applyBorder="1" applyAlignment="1" applyProtection="1">
      <alignment horizontal="center" vertical="center"/>
      <protection locked="0"/>
    </xf>
    <xf numFmtId="0" fontId="7" fillId="4" borderId="5" xfId="2" applyFill="1" applyBorder="1" applyAlignment="1" applyProtection="1">
      <alignment horizontal="center" vertical="center"/>
      <protection locked="0"/>
    </xf>
    <xf numFmtId="0" fontId="7" fillId="0" borderId="5" xfId="2" applyBorder="1" applyAlignment="1" applyProtection="1">
      <alignment horizontal="center" vertical="center"/>
    </xf>
    <xf numFmtId="0" fontId="7" fillId="0" borderId="0" xfId="2" applyBorder="1" applyAlignment="1" applyProtection="1">
      <alignment horizontal="center" vertical="center"/>
    </xf>
    <xf numFmtId="184" fontId="7" fillId="0" borderId="0" xfId="2" quotePrefix="1" applyNumberFormat="1" applyBorder="1" applyAlignment="1" applyProtection="1">
      <alignment horizontal="center" vertical="center"/>
    </xf>
    <xf numFmtId="176" fontId="7" fillId="0" borderId="0" xfId="2" quotePrefix="1" applyNumberFormat="1" applyBorder="1" applyAlignment="1" applyProtection="1">
      <alignment horizontal="center" vertical="center"/>
    </xf>
    <xf numFmtId="0" fontId="7" fillId="0" borderId="0" xfId="2" quotePrefix="1" applyBorder="1" applyAlignment="1" applyProtection="1">
      <alignment horizontal="center" vertical="center"/>
    </xf>
    <xf numFmtId="177" fontId="7" fillId="0" borderId="25" xfId="2" quotePrefix="1" applyNumberFormat="1" applyBorder="1" applyAlignment="1" applyProtection="1">
      <alignment horizontal="center" vertical="center"/>
    </xf>
    <xf numFmtId="179" fontId="7" fillId="0" borderId="25" xfId="2" quotePrefix="1" applyNumberFormat="1" applyBorder="1" applyAlignment="1" applyProtection="1">
      <alignment horizontal="center" vertical="center"/>
    </xf>
    <xf numFmtId="181" fontId="7" fillId="0" borderId="25" xfId="2" applyNumberFormat="1" applyBorder="1" applyAlignment="1" applyProtection="1">
      <alignment horizontal="center" vertical="center"/>
    </xf>
    <xf numFmtId="181" fontId="7" fillId="0" borderId="25" xfId="2" quotePrefix="1" applyNumberFormat="1" applyBorder="1" applyAlignment="1" applyProtection="1">
      <alignment horizontal="center" vertical="center"/>
    </xf>
    <xf numFmtId="181" fontId="7" fillId="0" borderId="5" xfId="2" applyNumberFormat="1" applyBorder="1" applyAlignment="1" applyProtection="1">
      <alignment horizontal="center" vertical="center"/>
    </xf>
    <xf numFmtId="0" fontId="7" fillId="4" borderId="27" xfId="2" applyFill="1" applyBorder="1" applyProtection="1"/>
    <xf numFmtId="0" fontId="7" fillId="4" borderId="7" xfId="2" applyFill="1" applyBorder="1" applyProtection="1"/>
    <xf numFmtId="0" fontId="7" fillId="0" borderId="7" xfId="2" applyBorder="1" applyProtection="1"/>
    <xf numFmtId="0" fontId="7" fillId="0" borderId="6" xfId="2" applyBorder="1" applyProtection="1"/>
    <xf numFmtId="0" fontId="7" fillId="0" borderId="27" xfId="2" applyBorder="1" applyProtection="1"/>
    <xf numFmtId="181" fontId="7" fillId="0" borderId="27" xfId="2" applyNumberFormat="1" applyBorder="1" applyProtection="1"/>
    <xf numFmtId="181" fontId="7" fillId="0" borderId="7" xfId="2" applyNumberFormat="1" applyBorder="1" applyProtection="1"/>
    <xf numFmtId="177" fontId="7" fillId="0" borderId="0" xfId="2" applyNumberFormat="1"/>
    <xf numFmtId="0" fontId="7" fillId="0" borderId="2" xfId="2" applyFill="1" applyBorder="1" applyAlignment="1" applyProtection="1">
      <alignment horizontal="center"/>
    </xf>
    <xf numFmtId="0" fontId="7" fillId="0" borderId="2" xfId="2" applyFill="1" applyBorder="1" applyProtection="1"/>
    <xf numFmtId="0" fontId="7" fillId="0" borderId="0" xfId="2" applyFill="1" applyBorder="1" applyProtection="1"/>
    <xf numFmtId="0" fontId="7" fillId="0" borderId="0" xfId="2" applyBorder="1" applyProtection="1"/>
    <xf numFmtId="181" fontId="7" fillId="0" borderId="0" xfId="2" applyNumberFormat="1" applyBorder="1" applyProtection="1"/>
    <xf numFmtId="181" fontId="7" fillId="0" borderId="2" xfId="2" applyNumberFormat="1" applyBorder="1" applyProtection="1"/>
    <xf numFmtId="0" fontId="4" fillId="0" borderId="0" xfId="2" applyFont="1" applyBorder="1" applyAlignment="1" applyProtection="1"/>
    <xf numFmtId="0" fontId="7" fillId="0" borderId="0" xfId="1" applyBorder="1" applyAlignment="1"/>
    <xf numFmtId="0" fontId="4" fillId="4" borderId="28" xfId="2" applyFont="1" applyFill="1" applyBorder="1" applyProtection="1"/>
    <xf numFmtId="0" fontId="7" fillId="0" borderId="0" xfId="2" applyFont="1" applyBorder="1" applyAlignment="1" applyProtection="1"/>
    <xf numFmtId="0" fontId="7" fillId="0" borderId="0" xfId="2" applyNumberFormat="1" applyProtection="1"/>
    <xf numFmtId="179" fontId="7" fillId="0" borderId="0" xfId="2" applyNumberFormat="1" applyProtection="1"/>
    <xf numFmtId="176" fontId="7" fillId="0" borderId="0" xfId="2" applyNumberFormat="1" applyProtection="1"/>
    <xf numFmtId="0" fontId="13" fillId="6" borderId="15" xfId="2" applyFont="1" applyFill="1" applyBorder="1" applyAlignment="1" applyProtection="1">
      <alignment horizontal="center" vertical="center" wrapText="1"/>
    </xf>
    <xf numFmtId="0" fontId="7" fillId="6" borderId="5" xfId="2" applyFont="1" applyFill="1" applyBorder="1" applyAlignment="1" applyProtection="1">
      <alignment horizontal="center"/>
    </xf>
    <xf numFmtId="0" fontId="7" fillId="6" borderId="7" xfId="2" applyFill="1" applyBorder="1" applyAlignment="1" applyProtection="1">
      <alignment horizontal="center"/>
    </xf>
    <xf numFmtId="0" fontId="7" fillId="4" borderId="24" xfId="2" applyFill="1" applyBorder="1" applyAlignment="1" applyProtection="1">
      <alignment horizontal="center" vertical="center"/>
      <protection locked="0"/>
    </xf>
    <xf numFmtId="0" fontId="7" fillId="6" borderId="5" xfId="2" applyFill="1" applyBorder="1" applyAlignment="1" applyProtection="1">
      <alignment horizontal="center" vertical="center"/>
      <protection locked="0"/>
    </xf>
    <xf numFmtId="181" fontId="7" fillId="0" borderId="25" xfId="2" applyNumberFormat="1" applyFont="1" applyBorder="1" applyAlignment="1" applyProtection="1">
      <alignment horizontal="center" vertical="center"/>
    </xf>
    <xf numFmtId="0" fontId="7" fillId="6" borderId="7" xfId="2" applyFill="1" applyBorder="1" applyProtection="1"/>
    <xf numFmtId="0" fontId="7" fillId="6" borderId="0" xfId="2" applyFill="1" applyProtection="1"/>
    <xf numFmtId="176" fontId="7" fillId="0" borderId="0" xfId="2" quotePrefix="1" applyNumberFormat="1" applyProtection="1"/>
    <xf numFmtId="176" fontId="7" fillId="0" borderId="0" xfId="2" applyNumberFormat="1"/>
    <xf numFmtId="0" fontId="26" fillId="0" borderId="0" xfId="2" applyFont="1"/>
    <xf numFmtId="178" fontId="7" fillId="0" borderId="0" xfId="2" applyNumberFormat="1"/>
    <xf numFmtId="0" fontId="13" fillId="0" borderId="23" xfId="2" applyFont="1" applyFill="1" applyBorder="1" applyAlignment="1" applyProtection="1">
      <alignment horizontal="center" vertical="center"/>
    </xf>
    <xf numFmtId="0" fontId="7" fillId="0" borderId="25" xfId="2" applyFont="1" applyFill="1" applyBorder="1" applyAlignment="1" applyProtection="1">
      <alignment horizontal="center"/>
    </xf>
    <xf numFmtId="0" fontId="7" fillId="0" borderId="27" xfId="2" applyFill="1" applyBorder="1" applyAlignment="1" applyProtection="1">
      <alignment horizontal="center"/>
    </xf>
    <xf numFmtId="0" fontId="7" fillId="0" borderId="25" xfId="2" applyFill="1" applyBorder="1" applyAlignment="1" applyProtection="1">
      <alignment horizontal="center" vertical="center"/>
      <protection locked="0"/>
    </xf>
    <xf numFmtId="0" fontId="7" fillId="0" borderId="27" xfId="2" applyFill="1" applyBorder="1" applyProtection="1"/>
    <xf numFmtId="0" fontId="7" fillId="0" borderId="0" xfId="2" applyNumberFormat="1"/>
    <xf numFmtId="0" fontId="5" fillId="0" borderId="0" xfId="0" applyFont="1" applyBorder="1" applyAlignment="1">
      <alignment vertical="center"/>
    </xf>
    <xf numFmtId="0" fontId="5" fillId="0" borderId="0" xfId="0" applyFont="1" applyFill="1" applyBorder="1" applyAlignment="1">
      <alignment horizontal="center" vertical="center"/>
    </xf>
    <xf numFmtId="0" fontId="5" fillId="0" borderId="0" xfId="0" applyFont="1" applyAlignment="1">
      <alignment vertical="center"/>
    </xf>
    <xf numFmtId="0" fontId="5" fillId="0" borderId="4" xfId="0" applyFont="1" applyBorder="1" applyAlignment="1">
      <alignment vertical="center"/>
    </xf>
    <xf numFmtId="0" fontId="27" fillId="0" borderId="0" xfId="0" applyFont="1" applyFill="1" applyBorder="1" applyAlignment="1">
      <alignment horizontal="center" vertical="center"/>
    </xf>
    <xf numFmtId="0" fontId="27" fillId="0" borderId="0" xfId="0" applyFont="1" applyAlignment="1">
      <alignment vertical="center"/>
    </xf>
    <xf numFmtId="0" fontId="27" fillId="0" borderId="4" xfId="0" applyFont="1" applyBorder="1" applyAlignment="1">
      <alignment vertical="center"/>
    </xf>
    <xf numFmtId="0" fontId="27" fillId="0" borderId="0" xfId="0" applyFont="1" applyFill="1" applyBorder="1" applyAlignment="1">
      <alignment vertical="center"/>
    </xf>
    <xf numFmtId="0" fontId="5" fillId="0" borderId="0" xfId="0" applyFont="1" applyFill="1" applyBorder="1" applyAlignment="1">
      <alignment vertical="center"/>
    </xf>
    <xf numFmtId="176" fontId="0" fillId="0" borderId="0" xfId="0" applyNumberFormat="1">
      <alignment vertical="center"/>
    </xf>
    <xf numFmtId="0" fontId="14" fillId="2" borderId="2" xfId="0" applyFont="1" applyFill="1" applyBorder="1" applyAlignment="1">
      <alignment vertical="center" shrinkToFit="1"/>
    </xf>
    <xf numFmtId="0" fontId="14" fillId="2" borderId="2"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176" fontId="14" fillId="2" borderId="0" xfId="0" applyNumberFormat="1" applyFont="1" applyFill="1" applyBorder="1" applyAlignment="1">
      <alignment horizontal="center" vertical="center" shrinkToFit="1"/>
    </xf>
    <xf numFmtId="176" fontId="14" fillId="2" borderId="5" xfId="0" applyNumberFormat="1" applyFont="1" applyFill="1" applyBorder="1" applyAlignment="1">
      <alignment horizontal="center" vertical="center" shrinkToFit="1"/>
    </xf>
    <xf numFmtId="176" fontId="14" fillId="2" borderId="9" xfId="0" applyNumberFormat="1" applyFont="1" applyFill="1" applyBorder="1" applyAlignment="1">
      <alignment horizontal="center" vertical="center" shrinkToFit="1"/>
    </xf>
    <xf numFmtId="176" fontId="14" fillId="2" borderId="29" xfId="0" applyNumberFormat="1" applyFont="1" applyFill="1" applyBorder="1" applyAlignment="1">
      <alignment horizontal="center" vertical="center" shrinkToFit="1"/>
    </xf>
    <xf numFmtId="0" fontId="14" fillId="2" borderId="11" xfId="0" applyFont="1" applyFill="1" applyBorder="1" applyAlignment="1">
      <alignment vertical="center" shrinkToFit="1"/>
    </xf>
    <xf numFmtId="0" fontId="14" fillId="2" borderId="11"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 xfId="0" applyFont="1" applyFill="1" applyBorder="1" applyAlignment="1">
      <alignment vertical="center" shrinkToFit="1"/>
    </xf>
    <xf numFmtId="178" fontId="14" fillId="2" borderId="2" xfId="0" applyNumberFormat="1" applyFont="1" applyFill="1" applyBorder="1" applyAlignment="1">
      <alignment vertical="center" shrinkToFit="1"/>
    </xf>
    <xf numFmtId="176" fontId="14" fillId="2" borderId="2" xfId="0" applyNumberFormat="1" applyFont="1" applyFill="1" applyBorder="1" applyAlignment="1">
      <alignment vertical="center" shrinkToFit="1"/>
    </xf>
    <xf numFmtId="179" fontId="14" fillId="3" borderId="6" xfId="0" applyNumberFormat="1" applyFont="1" applyFill="1" applyBorder="1" applyAlignment="1">
      <alignment horizontal="center" vertical="center" shrinkToFit="1"/>
    </xf>
    <xf numFmtId="179" fontId="14" fillId="3" borderId="7" xfId="0" applyNumberFormat="1" applyFont="1" applyFill="1" applyBorder="1" applyAlignment="1">
      <alignment horizontal="center" vertical="center" shrinkToFit="1"/>
    </xf>
    <xf numFmtId="0" fontId="12" fillId="3" borderId="1" xfId="0" applyFont="1" applyFill="1" applyBorder="1" applyAlignment="1">
      <alignment horizontal="center" vertical="center" shrinkToFit="1"/>
    </xf>
    <xf numFmtId="0" fontId="14" fillId="3" borderId="2" xfId="0" applyFont="1" applyFill="1" applyBorder="1" applyAlignment="1">
      <alignment horizontal="center" vertical="center" shrinkToFit="1"/>
    </xf>
    <xf numFmtId="0" fontId="12" fillId="3" borderId="2" xfId="0" applyFont="1" applyFill="1" applyBorder="1" applyAlignment="1">
      <alignment horizontal="center" vertical="center" shrinkToFit="1"/>
    </xf>
    <xf numFmtId="0" fontId="14" fillId="3" borderId="3"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177" fontId="14" fillId="3" borderId="0" xfId="0" applyNumberFormat="1" applyFont="1" applyFill="1" applyBorder="1" applyAlignment="1">
      <alignment horizontal="center" vertical="center" shrinkToFit="1"/>
    </xf>
    <xf numFmtId="0" fontId="14" fillId="3" borderId="5" xfId="0" applyFont="1" applyFill="1" applyBorder="1" applyAlignment="1">
      <alignment horizontal="center" vertical="center" shrinkToFit="1"/>
    </xf>
    <xf numFmtId="177" fontId="14" fillId="3" borderId="6" xfId="0" applyNumberFormat="1" applyFont="1" applyFill="1" applyBorder="1" applyAlignment="1">
      <alignment horizontal="center" vertical="center" shrinkToFit="1"/>
    </xf>
    <xf numFmtId="178" fontId="14" fillId="2" borderId="2" xfId="0" applyNumberFormat="1" applyFont="1" applyFill="1" applyBorder="1">
      <alignment vertical="center"/>
    </xf>
    <xf numFmtId="179" fontId="14" fillId="2" borderId="0" xfId="0" applyNumberFormat="1" applyFont="1" applyFill="1" applyBorder="1">
      <alignment vertical="center"/>
    </xf>
    <xf numFmtId="178" fontId="14" fillId="2" borderId="6" xfId="0" applyNumberFormat="1" applyFont="1" applyFill="1" applyBorder="1">
      <alignment vertical="center"/>
    </xf>
    <xf numFmtId="179" fontId="14" fillId="2" borderId="6" xfId="0" applyNumberFormat="1" applyFont="1" applyFill="1" applyBorder="1">
      <alignment vertical="center"/>
    </xf>
    <xf numFmtId="176" fontId="14" fillId="2" borderId="5" xfId="0" applyNumberFormat="1" applyFont="1" applyFill="1" applyBorder="1">
      <alignment vertical="center"/>
    </xf>
    <xf numFmtId="0" fontId="14" fillId="3" borderId="30" xfId="0" applyFont="1" applyFill="1" applyBorder="1" applyAlignment="1">
      <alignment horizontal="right" vertical="center"/>
    </xf>
    <xf numFmtId="176" fontId="14" fillId="3" borderId="0" xfId="0" applyNumberFormat="1" applyFont="1" applyFill="1" applyBorder="1" applyAlignment="1">
      <alignment horizontal="center" vertical="center"/>
    </xf>
    <xf numFmtId="176" fontId="14" fillId="3" borderId="5" xfId="0" applyNumberFormat="1" applyFont="1" applyFill="1" applyBorder="1" applyAlignment="1">
      <alignment horizontal="center" vertical="center"/>
    </xf>
    <xf numFmtId="176" fontId="14" fillId="3" borderId="9" xfId="0" applyNumberFormat="1" applyFont="1" applyFill="1" applyBorder="1" applyAlignment="1">
      <alignment horizontal="center" vertical="center"/>
    </xf>
    <xf numFmtId="176" fontId="14" fillId="3" borderId="29" xfId="0" applyNumberFormat="1" applyFont="1" applyFill="1" applyBorder="1" applyAlignment="1">
      <alignment horizontal="center" vertical="center"/>
    </xf>
    <xf numFmtId="177" fontId="14" fillId="2" borderId="11" xfId="0" applyNumberFormat="1" applyFont="1" applyFill="1" applyBorder="1" applyAlignment="1">
      <alignment vertical="center"/>
    </xf>
    <xf numFmtId="0" fontId="14" fillId="2" borderId="19" xfId="0" applyFont="1" applyFill="1" applyBorder="1" applyAlignment="1">
      <alignment vertical="center"/>
    </xf>
    <xf numFmtId="177" fontId="14" fillId="3" borderId="17" xfId="0" applyNumberFormat="1" applyFont="1" applyFill="1" applyBorder="1" applyAlignment="1">
      <alignment horizontal="center" vertical="center"/>
    </xf>
    <xf numFmtId="0" fontId="12" fillId="2" borderId="5" xfId="0" applyFont="1" applyFill="1" applyBorder="1" applyAlignment="1">
      <alignment horizontal="center" vertical="center"/>
    </xf>
    <xf numFmtId="0" fontId="14" fillId="2" borderId="6" xfId="0" applyFont="1" applyFill="1" applyBorder="1" applyAlignment="1">
      <alignment vertical="center"/>
    </xf>
    <xf numFmtId="0" fontId="14" fillId="0" borderId="0" xfId="0" applyFont="1" applyFill="1" applyBorder="1">
      <alignment vertical="center"/>
    </xf>
    <xf numFmtId="0" fontId="14" fillId="0" borderId="0" xfId="0" applyFont="1" applyFill="1" applyBorder="1" applyAlignment="1">
      <alignment horizontal="center" vertical="center"/>
    </xf>
    <xf numFmtId="0" fontId="12" fillId="0" borderId="0" xfId="0" applyFont="1">
      <alignment vertical="center"/>
    </xf>
    <xf numFmtId="183" fontId="14" fillId="7" borderId="6" xfId="0" applyNumberFormat="1" applyFont="1" applyFill="1" applyBorder="1" applyAlignment="1">
      <alignment horizontal="center" vertical="center" shrinkToFit="1"/>
    </xf>
    <xf numFmtId="183" fontId="14" fillId="7" borderId="7" xfId="0" applyNumberFormat="1" applyFont="1" applyFill="1" applyBorder="1" applyAlignment="1">
      <alignment horizontal="center" vertical="center" shrinkToFit="1"/>
    </xf>
    <xf numFmtId="177" fontId="14" fillId="7" borderId="28" xfId="0" applyNumberFormat="1" applyFont="1" applyFill="1" applyBorder="1" applyAlignment="1">
      <alignment horizontal="center" vertical="center" shrinkToFit="1"/>
    </xf>
    <xf numFmtId="176" fontId="14" fillId="7" borderId="18" xfId="0" applyNumberFormat="1" applyFont="1" applyFill="1" applyBorder="1" applyAlignment="1">
      <alignment horizontal="center" vertical="center" shrinkToFit="1"/>
    </xf>
    <xf numFmtId="176" fontId="14" fillId="7" borderId="17" xfId="0" applyNumberFormat="1" applyFont="1" applyFill="1" applyBorder="1" applyAlignment="1">
      <alignment horizontal="center" vertical="center" shrinkToFit="1"/>
    </xf>
    <xf numFmtId="0" fontId="14" fillId="0" borderId="0" xfId="0" applyNumberFormat="1" applyFont="1" applyAlignment="1">
      <alignment horizontal="center" vertical="center"/>
    </xf>
    <xf numFmtId="178" fontId="14" fillId="2" borderId="0" xfId="0" applyNumberFormat="1" applyFont="1" applyFill="1" applyBorder="1" applyAlignment="1">
      <alignment vertical="center" shrinkToFit="1"/>
    </xf>
    <xf numFmtId="176" fontId="14" fillId="2" borderId="0" xfId="0" applyNumberFormat="1" applyFont="1" applyFill="1" applyBorder="1" applyAlignment="1">
      <alignment vertical="center" shrinkToFit="1"/>
    </xf>
    <xf numFmtId="176" fontId="14" fillId="2" borderId="9" xfId="0" applyNumberFormat="1" applyFont="1" applyFill="1" applyBorder="1" applyAlignment="1">
      <alignment vertical="center" shrinkToFit="1"/>
    </xf>
    <xf numFmtId="0" fontId="14" fillId="3" borderId="21" xfId="0"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176" fontId="14" fillId="3" borderId="11" xfId="0" applyNumberFormat="1" applyFont="1" applyFill="1" applyBorder="1" applyAlignment="1">
      <alignment horizontal="center" vertical="center" shrinkToFit="1"/>
    </xf>
    <xf numFmtId="0" fontId="14" fillId="3" borderId="12" xfId="0" applyFont="1" applyFill="1" applyBorder="1" applyAlignment="1">
      <alignment horizontal="center" vertical="center" shrinkToFit="1"/>
    </xf>
    <xf numFmtId="178" fontId="14" fillId="3" borderId="6" xfId="0" applyNumberFormat="1" applyFont="1" applyFill="1" applyBorder="1" applyAlignment="1">
      <alignment vertical="center" shrinkToFit="1"/>
    </xf>
    <xf numFmtId="178" fontId="14" fillId="3" borderId="6" xfId="0" applyNumberFormat="1" applyFont="1" applyFill="1" applyBorder="1" applyAlignment="1">
      <alignment horizontal="center" vertical="center" shrinkToFit="1"/>
    </xf>
    <xf numFmtId="176" fontId="14" fillId="3" borderId="6" xfId="0" applyNumberFormat="1" applyFont="1" applyFill="1" applyBorder="1" applyAlignment="1">
      <alignment horizontal="center" vertical="center" shrinkToFit="1"/>
    </xf>
    <xf numFmtId="0" fontId="14" fillId="3" borderId="20" xfId="0" applyFont="1" applyFill="1" applyBorder="1" applyAlignment="1">
      <alignment horizontal="center" vertical="center" shrinkToFit="1"/>
    </xf>
    <xf numFmtId="0" fontId="14" fillId="8" borderId="0" xfId="0" applyFont="1" applyFill="1">
      <alignment vertical="center"/>
    </xf>
    <xf numFmtId="0" fontId="29" fillId="2" borderId="0" xfId="0" applyFont="1" applyFill="1">
      <alignment vertical="center"/>
    </xf>
    <xf numFmtId="0" fontId="29" fillId="2" borderId="5" xfId="0" applyFont="1" applyFill="1" applyBorder="1">
      <alignment vertical="center"/>
    </xf>
    <xf numFmtId="0" fontId="29" fillId="2" borderId="0" xfId="0" applyFont="1" applyFill="1" applyBorder="1">
      <alignment vertical="center"/>
    </xf>
    <xf numFmtId="0" fontId="29" fillId="2" borderId="29" xfId="0" applyFont="1" applyFill="1" applyBorder="1">
      <alignment vertical="center"/>
    </xf>
    <xf numFmtId="179" fontId="14" fillId="0" borderId="0" xfId="0" applyNumberFormat="1" applyFont="1" applyFill="1" applyBorder="1" applyAlignment="1">
      <alignment horizontal="center" vertical="center"/>
    </xf>
    <xf numFmtId="0" fontId="12" fillId="0" borderId="0"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178" fontId="14" fillId="0" borderId="0" xfId="0" applyNumberFormat="1" applyFont="1" applyFill="1" applyBorder="1" applyAlignment="1">
      <alignment vertical="center" shrinkToFit="1"/>
    </xf>
    <xf numFmtId="183" fontId="14" fillId="0" borderId="0" xfId="0" applyNumberFormat="1" applyFont="1" applyFill="1" applyBorder="1" applyAlignment="1">
      <alignment horizontal="center" vertical="center" shrinkToFit="1"/>
    </xf>
    <xf numFmtId="0" fontId="12" fillId="0" borderId="0" xfId="0" applyFont="1" applyFill="1">
      <alignment vertical="center"/>
    </xf>
    <xf numFmtId="0" fontId="0" fillId="0" borderId="0" xfId="0" applyBorder="1" applyAlignment="1">
      <alignment vertical="center"/>
    </xf>
    <xf numFmtId="0" fontId="6" fillId="0" borderId="0" xfId="0" applyFont="1" applyFill="1" applyBorder="1">
      <alignment vertical="center"/>
    </xf>
    <xf numFmtId="0" fontId="9" fillId="0" borderId="0" xfId="0" applyFont="1" applyFill="1" applyBorder="1">
      <alignment vertical="center"/>
    </xf>
    <xf numFmtId="178" fontId="14" fillId="9" borderId="0" xfId="0" applyNumberFormat="1" applyFont="1" applyFill="1" applyBorder="1" applyAlignment="1">
      <alignment vertical="center" shrinkToFit="1"/>
    </xf>
    <xf numFmtId="176" fontId="14" fillId="9" borderId="0" xfId="0" applyNumberFormat="1" applyFont="1" applyFill="1" applyBorder="1" applyAlignment="1">
      <alignment horizontal="center" vertical="center" shrinkToFit="1"/>
    </xf>
    <xf numFmtId="176" fontId="14" fillId="9" borderId="5" xfId="0" applyNumberFormat="1" applyFont="1" applyFill="1" applyBorder="1" applyAlignment="1">
      <alignment horizontal="center" vertical="center" shrinkToFit="1"/>
    </xf>
    <xf numFmtId="178" fontId="14" fillId="9" borderId="36" xfId="0" applyNumberFormat="1" applyFont="1" applyFill="1" applyBorder="1" applyAlignment="1">
      <alignment vertical="center" shrinkToFit="1"/>
    </xf>
    <xf numFmtId="183" fontId="14" fillId="9" borderId="36" xfId="0" applyNumberFormat="1" applyFont="1" applyFill="1" applyBorder="1" applyAlignment="1">
      <alignment horizontal="center" vertical="center" shrinkToFit="1"/>
    </xf>
    <xf numFmtId="183" fontId="14" fillId="9" borderId="37" xfId="0" applyNumberFormat="1" applyFont="1" applyFill="1" applyBorder="1" applyAlignment="1">
      <alignment horizontal="center" vertical="center" shrinkToFit="1"/>
    </xf>
    <xf numFmtId="177" fontId="14" fillId="9" borderId="36" xfId="0" applyNumberFormat="1" applyFont="1" applyFill="1" applyBorder="1" applyAlignment="1">
      <alignment horizontal="center" vertical="center" shrinkToFit="1"/>
    </xf>
    <xf numFmtId="176" fontId="14" fillId="7" borderId="0" xfId="0" applyNumberFormat="1" applyFont="1" applyFill="1" applyBorder="1" applyAlignment="1">
      <alignment vertical="center" shrinkToFit="1"/>
    </xf>
    <xf numFmtId="176" fontId="14" fillId="7" borderId="0" xfId="0" applyNumberFormat="1" applyFont="1" applyFill="1" applyBorder="1" applyAlignment="1">
      <alignment horizontal="center" vertical="center" shrinkToFit="1"/>
    </xf>
    <xf numFmtId="176" fontId="14" fillId="7" borderId="5" xfId="0" applyNumberFormat="1" applyFont="1" applyFill="1" applyBorder="1" applyAlignment="1">
      <alignment horizontal="center" vertical="center" shrinkToFit="1"/>
    </xf>
    <xf numFmtId="176" fontId="14" fillId="9" borderId="36" xfId="0" applyNumberFormat="1" applyFont="1" applyFill="1" applyBorder="1" applyAlignment="1">
      <alignment horizontal="center" vertical="center" shrinkToFit="1"/>
    </xf>
    <xf numFmtId="176" fontId="14" fillId="9" borderId="37" xfId="0" applyNumberFormat="1" applyFont="1" applyFill="1" applyBorder="1" applyAlignment="1">
      <alignment horizontal="center" vertical="center" shrinkToFit="1"/>
    </xf>
    <xf numFmtId="0" fontId="11"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5" fillId="0" borderId="0" xfId="0" applyFont="1" applyFill="1" applyBorder="1" applyAlignment="1">
      <alignment horizontal="right" vertical="center"/>
    </xf>
    <xf numFmtId="177"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9" fontId="5" fillId="0" borderId="0" xfId="0" applyNumberFormat="1" applyFont="1" applyFill="1" applyBorder="1" applyAlignment="1">
      <alignment horizontal="center" vertical="center"/>
    </xf>
    <xf numFmtId="0" fontId="27" fillId="0" borderId="0" xfId="0" applyFont="1" applyBorder="1" applyAlignment="1">
      <alignment vertical="center"/>
    </xf>
    <xf numFmtId="0" fontId="5" fillId="0" borderId="0" xfId="0" applyFont="1" applyFill="1" applyBorder="1" applyAlignment="1" applyProtection="1">
      <alignment vertical="center"/>
      <protection hidden="1"/>
    </xf>
    <xf numFmtId="0" fontId="4" fillId="0" borderId="0" xfId="0" applyFont="1" applyFill="1" applyBorder="1" applyAlignment="1" applyProtection="1">
      <alignment horizontal="center" vertical="center"/>
      <protection hidden="1"/>
    </xf>
    <xf numFmtId="0" fontId="9" fillId="0" borderId="0" xfId="0" applyFont="1" applyBorder="1" applyProtection="1">
      <alignment vertical="center"/>
      <protection hidden="1"/>
    </xf>
    <xf numFmtId="0" fontId="11" fillId="0" borderId="1" xfId="0" applyFont="1" applyBorder="1" applyAlignment="1" applyProtection="1">
      <alignment vertical="center"/>
      <protection hidden="1"/>
    </xf>
    <xf numFmtId="0" fontId="11" fillId="0" borderId="2" xfId="0" applyFont="1" applyBorder="1" applyAlignment="1" applyProtection="1">
      <alignment vertical="center"/>
      <protection hidden="1"/>
    </xf>
    <xf numFmtId="0" fontId="11" fillId="0" borderId="3" xfId="0" applyFont="1" applyBorder="1" applyAlignment="1" applyProtection="1">
      <alignment vertical="center"/>
      <protection hidden="1"/>
    </xf>
    <xf numFmtId="0" fontId="11" fillId="0" borderId="4" xfId="0" applyFont="1" applyBorder="1" applyAlignment="1" applyProtection="1">
      <alignment vertical="center"/>
      <protection hidden="1"/>
    </xf>
    <xf numFmtId="0" fontId="28" fillId="0" borderId="5" xfId="0" applyFont="1" applyFill="1" applyBorder="1" applyAlignment="1" applyProtection="1">
      <alignment horizontal="center" vertical="center"/>
      <protection hidden="1"/>
    </xf>
    <xf numFmtId="0" fontId="11" fillId="0" borderId="0" xfId="0" applyFont="1" applyBorder="1" applyAlignment="1" applyProtection="1">
      <alignment vertical="center"/>
      <protection hidden="1"/>
    </xf>
    <xf numFmtId="0" fontId="11" fillId="0" borderId="5" xfId="0" applyFont="1" applyBorder="1" applyAlignment="1" applyProtection="1">
      <alignment vertical="center"/>
      <protection hidden="1"/>
    </xf>
    <xf numFmtId="0" fontId="5" fillId="0" borderId="0" xfId="0" applyFont="1" applyBorder="1" applyAlignment="1" applyProtection="1">
      <alignment vertical="center"/>
      <protection hidden="1"/>
    </xf>
    <xf numFmtId="0" fontId="7" fillId="0" borderId="18" xfId="0" applyFont="1" applyBorder="1" applyAlignment="1" applyProtection="1">
      <alignment horizontal="center" vertical="center"/>
      <protection hidden="1"/>
    </xf>
    <xf numFmtId="0" fontId="6" fillId="0" borderId="18" xfId="0" applyFont="1" applyBorder="1" applyAlignment="1" applyProtection="1">
      <alignment vertical="center"/>
      <protection hidden="1"/>
    </xf>
    <xf numFmtId="0" fontId="6" fillId="0" borderId="39" xfId="0" applyFont="1" applyBorder="1" applyAlignment="1" applyProtection="1">
      <alignment vertical="center"/>
      <protection hidden="1"/>
    </xf>
    <xf numFmtId="0" fontId="7" fillId="0" borderId="9" xfId="0" applyFont="1"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0" fontId="6" fillId="0" borderId="18" xfId="0" applyFont="1" applyFill="1" applyBorder="1" applyAlignment="1" applyProtection="1">
      <alignment horizontal="left" vertical="center"/>
      <protection hidden="1"/>
    </xf>
    <xf numFmtId="177" fontId="6" fillId="0" borderId="18" xfId="0" applyNumberFormat="1"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6" fillId="0" borderId="40" xfId="0" applyFont="1" applyBorder="1" applyAlignment="1" applyProtection="1">
      <alignment vertical="center"/>
      <protection hidden="1"/>
    </xf>
    <xf numFmtId="0" fontId="6" fillId="0" borderId="30" xfId="0" applyFont="1" applyBorder="1" applyAlignment="1" applyProtection="1">
      <alignment horizontal="right" vertical="center" shrinkToFit="1"/>
      <protection hidden="1"/>
    </xf>
    <xf numFmtId="0" fontId="6" fillId="0" borderId="9" xfId="0" applyFont="1" applyBorder="1" applyAlignment="1" applyProtection="1">
      <alignment horizontal="right" vertical="center" shrinkToFit="1"/>
      <protection hidden="1"/>
    </xf>
    <xf numFmtId="0" fontId="6" fillId="0" borderId="34" xfId="0" applyFont="1" applyBorder="1" applyAlignment="1" applyProtection="1">
      <alignment vertical="center"/>
      <protection hidden="1"/>
    </xf>
    <xf numFmtId="176" fontId="6" fillId="0" borderId="18" xfId="0" applyNumberFormat="1" applyFont="1" applyBorder="1" applyAlignment="1" applyProtection="1">
      <alignment horizontal="center" vertical="center"/>
      <protection hidden="1"/>
    </xf>
    <xf numFmtId="0" fontId="5" fillId="0" borderId="18" xfId="0" applyFont="1" applyBorder="1" applyAlignment="1" applyProtection="1">
      <alignment horizontal="right" vertical="center" shrinkToFit="1"/>
      <protection hidden="1"/>
    </xf>
    <xf numFmtId="0" fontId="5" fillId="0" borderId="18" xfId="0" applyFont="1" applyBorder="1" applyAlignment="1" applyProtection="1">
      <alignment vertical="center"/>
      <protection hidden="1"/>
    </xf>
    <xf numFmtId="0" fontId="5" fillId="0" borderId="18" xfId="0" applyFont="1" applyBorder="1" applyAlignment="1" applyProtection="1">
      <alignment vertical="center" shrinkToFit="1"/>
      <protection hidden="1"/>
    </xf>
    <xf numFmtId="179" fontId="5" fillId="0" borderId="18" xfId="0" applyNumberFormat="1" applyFont="1" applyBorder="1" applyAlignment="1" applyProtection="1">
      <alignment horizontal="center" vertical="center"/>
      <protection hidden="1"/>
    </xf>
    <xf numFmtId="0" fontId="13" fillId="0" borderId="0" xfId="0" applyFont="1" applyBorder="1" applyAlignment="1" applyProtection="1">
      <alignment vertical="center"/>
      <protection hidden="1"/>
    </xf>
    <xf numFmtId="0" fontId="38" fillId="0" borderId="0" xfId="0" applyFont="1" applyFill="1" applyBorder="1" applyAlignment="1" applyProtection="1">
      <alignment horizontal="center" vertical="center"/>
      <protection hidden="1"/>
    </xf>
    <xf numFmtId="0" fontId="39" fillId="0" borderId="0" xfId="0" applyFont="1" applyBorder="1" applyAlignment="1" applyProtection="1">
      <alignment vertical="center"/>
      <protection hidden="1"/>
    </xf>
    <xf numFmtId="0" fontId="11" fillId="0" borderId="8" xfId="0" applyFont="1" applyBorder="1" applyAlignment="1" applyProtection="1">
      <alignment vertical="center"/>
      <protection hidden="1"/>
    </xf>
    <xf numFmtId="0" fontId="32" fillId="0" borderId="6" xfId="0" applyFont="1" applyFill="1" applyBorder="1" applyAlignment="1" applyProtection="1">
      <alignment horizontal="center" vertical="center"/>
      <protection hidden="1"/>
    </xf>
    <xf numFmtId="0" fontId="38" fillId="0" borderId="6" xfId="0" applyFont="1" applyFill="1" applyBorder="1" applyAlignment="1" applyProtection="1">
      <alignment horizontal="center" vertical="center"/>
      <protection hidden="1"/>
    </xf>
    <xf numFmtId="0" fontId="11" fillId="0" borderId="6" xfId="0" applyFont="1" applyBorder="1" applyAlignment="1" applyProtection="1">
      <alignment vertical="center"/>
      <protection hidden="1"/>
    </xf>
    <xf numFmtId="0" fontId="11" fillId="0" borderId="7" xfId="0" applyFont="1" applyBorder="1" applyAlignment="1" applyProtection="1">
      <alignment vertical="center"/>
      <protection hidden="1"/>
    </xf>
    <xf numFmtId="0" fontId="11" fillId="8" borderId="18" xfId="0" applyFont="1" applyFill="1" applyBorder="1" applyAlignment="1" applyProtection="1">
      <alignment vertical="center"/>
      <protection hidden="1"/>
    </xf>
    <xf numFmtId="0" fontId="11" fillId="0" borderId="18" xfId="0" applyFont="1" applyBorder="1" applyAlignment="1" applyProtection="1">
      <alignment vertical="center"/>
      <protection hidden="1"/>
    </xf>
    <xf numFmtId="0" fontId="11" fillId="0" borderId="39" xfId="0" applyFont="1" applyBorder="1" applyAlignment="1" applyProtection="1">
      <alignment vertical="center"/>
      <protection hidden="1"/>
    </xf>
    <xf numFmtId="0" fontId="6" fillId="0" borderId="39" xfId="0" applyFont="1" applyFill="1" applyBorder="1" applyAlignment="1" applyProtection="1">
      <alignment horizontal="left" vertical="center"/>
      <protection hidden="1"/>
    </xf>
    <xf numFmtId="41" fontId="6" fillId="0" borderId="40" xfId="0" applyNumberFormat="1" applyFont="1" applyBorder="1" applyAlignment="1" applyProtection="1">
      <alignment horizontal="center" vertical="center"/>
      <protection hidden="1"/>
    </xf>
    <xf numFmtId="41" fontId="6" fillId="0" borderId="34" xfId="0" applyNumberFormat="1" applyFont="1" applyBorder="1" applyAlignment="1" applyProtection="1">
      <alignment horizontal="center" vertical="center"/>
      <protection hidden="1"/>
    </xf>
    <xf numFmtId="0" fontId="38" fillId="0" borderId="11" xfId="0" applyFont="1" applyFill="1" applyBorder="1" applyAlignment="1" applyProtection="1">
      <alignment horizontal="center" vertical="center"/>
      <protection hidden="1"/>
    </xf>
    <xf numFmtId="177" fontId="38" fillId="0" borderId="11" xfId="0" applyNumberFormat="1" applyFont="1" applyFill="1" applyBorder="1" applyAlignment="1" applyProtection="1">
      <alignment horizontal="center" vertical="center"/>
      <protection hidden="1"/>
    </xf>
    <xf numFmtId="0" fontId="38" fillId="0" borderId="11" xfId="0" applyFont="1" applyFill="1" applyBorder="1" applyAlignment="1" applyProtection="1">
      <alignment vertical="center"/>
      <protection hidden="1"/>
    </xf>
    <xf numFmtId="0" fontId="11" fillId="0" borderId="4" xfId="0" applyFont="1" applyFill="1" applyBorder="1" applyAlignment="1" applyProtection="1">
      <alignment vertical="center"/>
      <protection hidden="1"/>
    </xf>
    <xf numFmtId="0" fontId="10" fillId="0" borderId="0" xfId="0" applyFont="1" applyFill="1" applyBorder="1" applyAlignment="1" applyProtection="1">
      <alignment vertical="center"/>
      <protection hidden="1"/>
    </xf>
    <xf numFmtId="0" fontId="11" fillId="0" borderId="0" xfId="0" applyFont="1" applyFill="1" applyBorder="1" applyAlignment="1" applyProtection="1">
      <alignment vertical="center"/>
      <protection hidden="1"/>
    </xf>
    <xf numFmtId="0" fontId="10" fillId="0" borderId="0" xfId="0" applyFont="1" applyFill="1" applyBorder="1" applyAlignment="1" applyProtection="1">
      <alignment horizontal="center" vertical="center"/>
      <protection hidden="1"/>
    </xf>
    <xf numFmtId="0" fontId="28" fillId="0" borderId="0" xfId="0" applyFont="1" applyFill="1" applyBorder="1" applyAlignment="1" applyProtection="1">
      <alignment horizontal="center" vertical="center"/>
      <protection hidden="1"/>
    </xf>
    <xf numFmtId="0" fontId="11" fillId="0" borderId="5" xfId="0" applyFont="1" applyFill="1" applyBorder="1" applyAlignment="1" applyProtection="1">
      <alignment vertical="center"/>
      <protection hidden="1"/>
    </xf>
    <xf numFmtId="14" fontId="11" fillId="0" borderId="0" xfId="0" applyNumberFormat="1" applyFont="1" applyFill="1" applyBorder="1" applyAlignment="1" applyProtection="1">
      <alignment horizontal="center" vertical="center"/>
      <protection hidden="1"/>
    </xf>
    <xf numFmtId="0" fontId="1" fillId="0" borderId="4" xfId="0" applyFont="1" applyFill="1" applyBorder="1" applyAlignment="1" applyProtection="1">
      <alignment vertical="center"/>
      <protection hidden="1"/>
    </xf>
    <xf numFmtId="0" fontId="4" fillId="0" borderId="0" xfId="0" applyFont="1" applyFill="1" applyBorder="1" applyAlignment="1" applyProtection="1">
      <alignment horizontal="left" vertical="center"/>
      <protection hidden="1"/>
    </xf>
    <xf numFmtId="0" fontId="5" fillId="0" borderId="0" xfId="0" applyFont="1" applyFill="1" applyBorder="1" applyAlignment="1" applyProtection="1">
      <alignment horizontal="left" vertical="center"/>
      <protection hidden="1"/>
    </xf>
    <xf numFmtId="0" fontId="5" fillId="0" borderId="5" xfId="0" applyFont="1" applyFill="1" applyBorder="1" applyAlignment="1" applyProtection="1">
      <alignment vertical="center"/>
      <protection hidden="1"/>
    </xf>
    <xf numFmtId="0" fontId="5" fillId="0" borderId="4" xfId="0" applyFont="1" applyFill="1" applyBorder="1" applyAlignment="1" applyProtection="1">
      <alignment vertical="center"/>
      <protection hidden="1"/>
    </xf>
    <xf numFmtId="0" fontId="4" fillId="0" borderId="0" xfId="0" applyFont="1" applyFill="1" applyBorder="1" applyAlignment="1" applyProtection="1">
      <alignment horizontal="right" vertical="center"/>
      <protection hidden="1"/>
    </xf>
    <xf numFmtId="0" fontId="5" fillId="0" borderId="0" xfId="0" applyFont="1" applyFill="1" applyBorder="1" applyAlignment="1" applyProtection="1">
      <alignment horizontal="right" vertical="center"/>
      <protection hidden="1"/>
    </xf>
    <xf numFmtId="176" fontId="5" fillId="0" borderId="0" xfId="0" applyNumberFormat="1" applyFont="1" applyFill="1" applyBorder="1" applyAlignment="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8" xfId="0" applyFont="1" applyFill="1" applyBorder="1" applyAlignment="1" applyProtection="1">
      <alignment vertical="center"/>
      <protection hidden="1"/>
    </xf>
    <xf numFmtId="0" fontId="4" fillId="0" borderId="6" xfId="0" applyFont="1" applyFill="1" applyBorder="1" applyAlignment="1" applyProtection="1">
      <alignment horizontal="right" vertical="center"/>
      <protection hidden="1"/>
    </xf>
    <xf numFmtId="0" fontId="5" fillId="0" borderId="6" xfId="0" applyFont="1" applyFill="1" applyBorder="1" applyAlignment="1" applyProtection="1">
      <alignment horizontal="right" vertical="center"/>
      <protection hidden="1"/>
    </xf>
    <xf numFmtId="177" fontId="5" fillId="0" borderId="6" xfId="0" applyNumberFormat="1" applyFont="1" applyFill="1" applyBorder="1" applyAlignment="1" applyProtection="1">
      <alignment horizontal="center" vertical="center"/>
      <protection hidden="1"/>
    </xf>
    <xf numFmtId="0" fontId="5" fillId="0" borderId="6" xfId="0" applyFont="1" applyFill="1" applyBorder="1" applyAlignment="1" applyProtection="1">
      <alignment vertical="center"/>
      <protection hidden="1"/>
    </xf>
    <xf numFmtId="177" fontId="5" fillId="0" borderId="6" xfId="0" applyNumberFormat="1" applyFont="1" applyFill="1" applyBorder="1" applyAlignment="1" applyProtection="1">
      <alignment vertical="center"/>
      <protection hidden="1"/>
    </xf>
    <xf numFmtId="0" fontId="11" fillId="0" borderId="6" xfId="0" applyFont="1" applyFill="1" applyBorder="1" applyAlignment="1" applyProtection="1">
      <alignment vertical="center"/>
      <protection hidden="1"/>
    </xf>
    <xf numFmtId="0" fontId="5" fillId="0" borderId="7" xfId="0" applyFont="1" applyFill="1" applyBorder="1" applyAlignment="1" applyProtection="1">
      <alignment vertical="center"/>
      <protection hidden="1"/>
    </xf>
    <xf numFmtId="179" fontId="6" fillId="0" borderId="43" xfId="0" applyNumberFormat="1" applyFont="1" applyBorder="1" applyAlignment="1" applyProtection="1">
      <alignment horizontal="center" vertical="center"/>
      <protection hidden="1"/>
    </xf>
    <xf numFmtId="179" fontId="6" fillId="0" borderId="44" xfId="0" applyNumberFormat="1" applyFont="1" applyBorder="1" applyAlignment="1" applyProtection="1">
      <alignment horizontal="center" vertical="center"/>
      <protection hidden="1"/>
    </xf>
    <xf numFmtId="179" fontId="6" fillId="0" borderId="45" xfId="0" applyNumberFormat="1" applyFont="1" applyBorder="1" applyAlignment="1" applyProtection="1">
      <alignment horizontal="center" vertical="center"/>
      <protection hidden="1"/>
    </xf>
    <xf numFmtId="185" fontId="6" fillId="0" borderId="18" xfId="0" applyNumberFormat="1" applyFont="1" applyBorder="1" applyAlignment="1" applyProtection="1">
      <alignment vertical="center"/>
      <protection hidden="1"/>
    </xf>
    <xf numFmtId="176" fontId="6" fillId="0" borderId="18" xfId="0" applyNumberFormat="1" applyFont="1" applyBorder="1" applyAlignment="1" applyProtection="1">
      <alignment horizontal="center" vertical="center" shrinkToFit="1"/>
      <protection hidden="1"/>
    </xf>
    <xf numFmtId="0" fontId="6" fillId="0" borderId="18" xfId="0" applyFont="1" applyBorder="1" applyAlignment="1" applyProtection="1">
      <alignment horizontal="center" vertical="center"/>
      <protection hidden="1"/>
    </xf>
    <xf numFmtId="176" fontId="5" fillId="0" borderId="18" xfId="0" applyNumberFormat="1" applyFont="1" applyBorder="1" applyAlignment="1" applyProtection="1">
      <alignment horizontal="center" vertical="center"/>
      <protection hidden="1"/>
    </xf>
    <xf numFmtId="0" fontId="5" fillId="0" borderId="19" xfId="0" applyFont="1" applyBorder="1" applyAlignment="1" applyProtection="1">
      <alignment horizontal="center" vertical="center"/>
      <protection hidden="1"/>
    </xf>
    <xf numFmtId="0" fontId="5" fillId="0" borderId="30" xfId="0" applyFont="1" applyBorder="1" applyAlignment="1" applyProtection="1">
      <alignment horizontal="center" vertical="center"/>
      <protection hidden="1"/>
    </xf>
    <xf numFmtId="0" fontId="7" fillId="0" borderId="18" xfId="0" applyFont="1" applyBorder="1" applyAlignment="1" applyProtection="1">
      <alignment horizontal="center" vertical="center"/>
      <protection hidden="1"/>
    </xf>
    <xf numFmtId="0" fontId="6" fillId="0" borderId="18" xfId="0" applyFont="1" applyBorder="1" applyAlignment="1" applyProtection="1">
      <alignment vertical="center"/>
      <protection hidden="1"/>
    </xf>
    <xf numFmtId="0" fontId="6" fillId="0" borderId="39" xfId="0" applyFont="1" applyBorder="1" applyAlignment="1" applyProtection="1">
      <alignment vertical="center"/>
      <protection hidden="1"/>
    </xf>
    <xf numFmtId="185" fontId="6" fillId="0" borderId="11" xfId="0" applyNumberFormat="1" applyFont="1" applyBorder="1" applyAlignment="1" applyProtection="1">
      <alignment horizontal="center" vertical="center" shrinkToFit="1"/>
      <protection hidden="1"/>
    </xf>
    <xf numFmtId="185" fontId="6" fillId="0" borderId="9" xfId="0" applyNumberFormat="1" applyFont="1" applyBorder="1" applyAlignment="1" applyProtection="1">
      <alignment horizontal="center" vertical="center" shrinkToFit="1"/>
      <protection hidden="1"/>
    </xf>
    <xf numFmtId="0" fontId="6" fillId="0" borderId="46" xfId="0" applyFont="1" applyBorder="1" applyAlignment="1" applyProtection="1">
      <alignment horizontal="center" vertical="center"/>
      <protection hidden="1"/>
    </xf>
    <xf numFmtId="0" fontId="6" fillId="0" borderId="47" xfId="0" applyFont="1" applyBorder="1" applyAlignment="1" applyProtection="1">
      <alignment horizontal="center" vertical="center"/>
      <protection hidden="1"/>
    </xf>
    <xf numFmtId="0" fontId="6" fillId="0" borderId="47" xfId="0" applyFont="1" applyFill="1" applyBorder="1" applyAlignment="1" applyProtection="1">
      <alignment horizontal="center" vertical="center"/>
      <protection hidden="1"/>
    </xf>
    <xf numFmtId="0" fontId="6" fillId="0" borderId="48" xfId="0" applyFont="1" applyFill="1" applyBorder="1" applyAlignment="1" applyProtection="1">
      <alignment horizontal="center" vertical="center"/>
      <protection hidden="1"/>
    </xf>
    <xf numFmtId="176" fontId="6" fillId="0" borderId="18" xfId="0" applyNumberFormat="1" applyFont="1" applyBorder="1" applyAlignment="1" applyProtection="1">
      <alignment vertical="center"/>
      <protection hidden="1"/>
    </xf>
    <xf numFmtId="176" fontId="14" fillId="7" borderId="6" xfId="0" applyNumberFormat="1" applyFont="1" applyFill="1" applyBorder="1" applyAlignment="1">
      <alignment vertical="center" shrinkToFit="1"/>
    </xf>
    <xf numFmtId="176" fontId="14" fillId="7" borderId="6" xfId="0" applyNumberFormat="1" applyFont="1" applyFill="1" applyBorder="1" applyAlignment="1">
      <alignment horizontal="center" vertical="center" shrinkToFit="1"/>
    </xf>
    <xf numFmtId="176" fontId="14" fillId="2" borderId="2" xfId="0" applyNumberFormat="1" applyFont="1" applyFill="1" applyBorder="1" applyAlignment="1">
      <alignment horizontal="center" vertical="center" shrinkToFit="1"/>
    </xf>
    <xf numFmtId="0" fontId="5" fillId="0" borderId="21" xfId="0" applyFont="1" applyBorder="1" applyAlignment="1" applyProtection="1">
      <alignment horizontal="center" vertical="center"/>
      <protection hidden="1"/>
    </xf>
    <xf numFmtId="178" fontId="14" fillId="9" borderId="36" xfId="0" applyNumberFormat="1" applyFont="1" applyFill="1" applyBorder="1" applyAlignment="1">
      <alignment horizontal="center" vertical="center" shrinkToFit="1"/>
    </xf>
    <xf numFmtId="0" fontId="6" fillId="0" borderId="79" xfId="0" applyFont="1" applyBorder="1" applyAlignment="1" applyProtection="1">
      <alignment horizontal="center" vertical="center"/>
      <protection hidden="1"/>
    </xf>
    <xf numFmtId="179" fontId="6" fillId="0" borderId="80" xfId="0" applyNumberFormat="1" applyFont="1" applyBorder="1" applyAlignment="1" applyProtection="1">
      <alignment horizontal="center" vertical="center"/>
      <protection hidden="1"/>
    </xf>
    <xf numFmtId="0" fontId="47" fillId="0" borderId="0" xfId="0" applyFont="1" applyAlignment="1">
      <alignment vertical="center"/>
    </xf>
    <xf numFmtId="0" fontId="50" fillId="12" borderId="0" xfId="0" applyFont="1" applyFill="1">
      <alignment vertical="center"/>
    </xf>
    <xf numFmtId="0" fontId="0" fillId="0" borderId="28" xfId="0" applyBorder="1">
      <alignment vertical="center"/>
    </xf>
    <xf numFmtId="0" fontId="0" fillId="0" borderId="68" xfId="0" applyBorder="1">
      <alignment vertical="center"/>
    </xf>
    <xf numFmtId="0" fontId="0" fillId="0" borderId="78" xfId="0" applyBorder="1">
      <alignment vertical="center"/>
    </xf>
    <xf numFmtId="184" fontId="6" fillId="0" borderId="69" xfId="0" applyNumberFormat="1" applyFont="1" applyBorder="1" applyAlignment="1">
      <alignment horizontal="center" vertical="center"/>
    </xf>
    <xf numFmtId="0" fontId="0" fillId="0" borderId="0" xfId="0" applyFont="1" applyAlignment="1">
      <alignment vertical="center"/>
    </xf>
    <xf numFmtId="0" fontId="0" fillId="0" borderId="76" xfId="0" applyFont="1" applyBorder="1" applyAlignment="1">
      <alignment vertical="center"/>
    </xf>
    <xf numFmtId="0" fontId="0" fillId="0" borderId="62" xfId="0" applyFont="1" applyBorder="1" applyAlignment="1">
      <alignment vertical="center"/>
    </xf>
    <xf numFmtId="0" fontId="0" fillId="0" borderId="63" xfId="0" applyFont="1" applyBorder="1" applyAlignment="1">
      <alignment vertical="center"/>
    </xf>
    <xf numFmtId="0" fontId="0" fillId="0" borderId="77" xfId="0" applyFont="1" applyBorder="1" applyAlignment="1">
      <alignment vertical="center"/>
    </xf>
    <xf numFmtId="0" fontId="0" fillId="0" borderId="28" xfId="0" applyFont="1" applyBorder="1" applyAlignment="1">
      <alignment vertical="center"/>
    </xf>
    <xf numFmtId="0" fontId="0" fillId="0" borderId="38" xfId="0" applyFont="1" applyBorder="1" applyAlignment="1">
      <alignment vertical="center"/>
    </xf>
    <xf numFmtId="0" fontId="0" fillId="0" borderId="78" xfId="0" applyFont="1" applyBorder="1" applyAlignment="1">
      <alignment vertical="center"/>
    </xf>
    <xf numFmtId="0" fontId="0" fillId="0" borderId="68" xfId="0" applyFont="1" applyBorder="1" applyAlignment="1">
      <alignment vertical="center"/>
    </xf>
    <xf numFmtId="0" fontId="0" fillId="0" borderId="69" xfId="0" applyFont="1" applyBorder="1" applyAlignment="1">
      <alignment vertical="center"/>
    </xf>
    <xf numFmtId="0" fontId="7" fillId="0" borderId="0" xfId="0" applyFont="1">
      <alignment vertical="center"/>
    </xf>
    <xf numFmtId="0" fontId="7" fillId="0" borderId="77" xfId="0" applyFont="1" applyBorder="1">
      <alignment vertical="center"/>
    </xf>
    <xf numFmtId="0" fontId="6" fillId="0" borderId="28" xfId="0" applyFont="1" applyBorder="1">
      <alignment vertical="center"/>
    </xf>
    <xf numFmtId="0" fontId="6" fillId="0" borderId="38" xfId="0" applyFont="1" applyBorder="1">
      <alignment vertical="center"/>
    </xf>
    <xf numFmtId="0" fontId="6" fillId="0" borderId="68" xfId="0" applyFont="1" applyBorder="1">
      <alignment vertical="center"/>
    </xf>
    <xf numFmtId="0" fontId="6" fillId="0" borderId="69" xfId="0" applyFont="1" applyBorder="1">
      <alignment vertical="center"/>
    </xf>
    <xf numFmtId="0" fontId="6" fillId="0" borderId="76" xfId="0" applyFont="1" applyBorder="1">
      <alignment vertical="center"/>
    </xf>
    <xf numFmtId="0" fontId="7" fillId="0" borderId="78" xfId="0" applyFont="1" applyBorder="1">
      <alignment vertical="center"/>
    </xf>
    <xf numFmtId="0" fontId="0" fillId="12" borderId="77" xfId="0" applyFont="1" applyFill="1" applyBorder="1" applyAlignment="1">
      <alignment vertical="center"/>
    </xf>
    <xf numFmtId="0" fontId="12" fillId="13" borderId="8" xfId="0" applyFont="1" applyFill="1" applyBorder="1">
      <alignment vertical="center"/>
    </xf>
    <xf numFmtId="0" fontId="14" fillId="13" borderId="6" xfId="0" applyFont="1" applyFill="1" applyBorder="1">
      <alignment vertical="center"/>
    </xf>
    <xf numFmtId="179" fontId="14" fillId="13" borderId="6" xfId="0" applyNumberFormat="1" applyFont="1" applyFill="1" applyBorder="1">
      <alignment vertical="center"/>
    </xf>
    <xf numFmtId="0" fontId="14" fillId="13" borderId="7" xfId="0" applyFont="1" applyFill="1" applyBorder="1">
      <alignment vertical="center"/>
    </xf>
    <xf numFmtId="0" fontId="14" fillId="13" borderId="0" xfId="0" applyFont="1" applyFill="1">
      <alignment vertical="center"/>
    </xf>
    <xf numFmtId="0" fontId="0" fillId="0" borderId="16" xfId="0" applyFont="1" applyBorder="1" applyAlignment="1">
      <alignment vertical="center"/>
    </xf>
    <xf numFmtId="0" fontId="0" fillId="0" borderId="18" xfId="0" applyFont="1" applyBorder="1" applyAlignment="1">
      <alignment vertical="center"/>
    </xf>
    <xf numFmtId="0" fontId="0" fillId="0" borderId="17" xfId="0" applyFont="1" applyBorder="1" applyAlignment="1">
      <alignment vertical="center"/>
    </xf>
    <xf numFmtId="0" fontId="0" fillId="0" borderId="54" xfId="0" applyFont="1" applyBorder="1" applyAlignment="1">
      <alignment vertical="center"/>
    </xf>
    <xf numFmtId="0" fontId="0" fillId="0" borderId="14" xfId="0" applyFont="1" applyBorder="1" applyAlignment="1">
      <alignment vertical="center"/>
    </xf>
    <xf numFmtId="0" fontId="0" fillId="0" borderId="15" xfId="0" applyFont="1" applyBorder="1" applyAlignment="1">
      <alignment vertical="center"/>
    </xf>
    <xf numFmtId="0" fontId="4" fillId="0" borderId="54" xfId="0" applyFont="1" applyBorder="1" applyAlignment="1">
      <alignment vertical="center"/>
    </xf>
    <xf numFmtId="179" fontId="34" fillId="0" borderId="0" xfId="0" applyNumberFormat="1" applyFont="1" applyFill="1" applyBorder="1" applyAlignment="1" applyProtection="1">
      <alignment vertical="center"/>
      <protection locked="0"/>
    </xf>
    <xf numFmtId="0" fontId="6" fillId="6" borderId="0" xfId="0" applyFont="1" applyFill="1" applyBorder="1" applyAlignment="1" applyProtection="1">
      <protection hidden="1"/>
    </xf>
    <xf numFmtId="0" fontId="6" fillId="0" borderId="0" xfId="0" applyFont="1" applyBorder="1" applyAlignment="1" applyProtection="1">
      <alignment vertical="center"/>
      <protection hidden="1"/>
    </xf>
    <xf numFmtId="0" fontId="7" fillId="6" borderId="0" xfId="0" applyFont="1" applyFill="1" applyBorder="1" applyAlignment="1" applyProtection="1">
      <alignment horizontal="center"/>
      <protection hidden="1"/>
    </xf>
    <xf numFmtId="0" fontId="47" fillId="0" borderId="0" xfId="0" applyFont="1" applyBorder="1" applyAlignment="1">
      <alignment vertical="center"/>
    </xf>
    <xf numFmtId="0" fontId="34" fillId="0" borderId="84" xfId="0" applyFont="1" applyFill="1" applyBorder="1" applyAlignment="1" applyProtection="1">
      <alignment horizontal="center" vertical="center"/>
      <protection locked="0"/>
    </xf>
    <xf numFmtId="0" fontId="34" fillId="0" borderId="85" xfId="0" applyFont="1" applyFill="1" applyBorder="1" applyAlignment="1" applyProtection="1">
      <alignment horizontal="center" vertical="center"/>
      <protection locked="0"/>
    </xf>
    <xf numFmtId="0" fontId="34" fillId="0" borderId="86" xfId="0" applyFont="1" applyFill="1" applyBorder="1" applyAlignment="1" applyProtection="1">
      <alignment horizontal="center" vertical="center"/>
      <protection locked="0"/>
    </xf>
    <xf numFmtId="0" fontId="6" fillId="0" borderId="0" xfId="0" applyFont="1" applyFill="1" applyBorder="1" applyProtection="1">
      <alignment vertical="center"/>
      <protection hidden="1"/>
    </xf>
    <xf numFmtId="0" fontId="6" fillId="6" borderId="17" xfId="0" applyFont="1" applyFill="1" applyBorder="1" applyProtection="1">
      <alignment vertical="center"/>
      <protection hidden="1"/>
    </xf>
    <xf numFmtId="0" fontId="6" fillId="0" borderId="83" xfId="0" applyFont="1" applyFill="1" applyBorder="1" applyProtection="1">
      <alignment vertical="center"/>
      <protection hidden="1"/>
    </xf>
    <xf numFmtId="0" fontId="6" fillId="0" borderId="6" xfId="0" applyFont="1" applyFill="1" applyBorder="1" applyProtection="1">
      <alignment vertical="center"/>
      <protection hidden="1"/>
    </xf>
    <xf numFmtId="0" fontId="6" fillId="6" borderId="94" xfId="0" applyFont="1" applyFill="1" applyBorder="1" applyAlignment="1" applyProtection="1">
      <alignment horizontal="center" vertical="center"/>
      <protection hidden="1"/>
    </xf>
    <xf numFmtId="0" fontId="6" fillId="6" borderId="95" xfId="0" applyFont="1" applyFill="1" applyBorder="1" applyAlignment="1" applyProtection="1">
      <alignment horizontal="center" vertical="center"/>
      <protection hidden="1"/>
    </xf>
    <xf numFmtId="0" fontId="6" fillId="6" borderId="96" xfId="0" applyFont="1" applyFill="1" applyBorder="1" applyAlignment="1" applyProtection="1">
      <alignment horizontal="center" vertical="center"/>
      <protection hidden="1"/>
    </xf>
    <xf numFmtId="0" fontId="6" fillId="0" borderId="83" xfId="0" applyFont="1" applyFill="1" applyBorder="1" applyAlignment="1" applyProtection="1">
      <alignment horizontal="left"/>
      <protection hidden="1"/>
    </xf>
    <xf numFmtId="0" fontId="13" fillId="6" borderId="9" xfId="0" applyFont="1" applyFill="1" applyBorder="1" applyAlignment="1" applyProtection="1">
      <alignment vertical="center"/>
      <protection hidden="1"/>
    </xf>
    <xf numFmtId="0" fontId="11" fillId="6" borderId="9" xfId="0" applyFont="1" applyFill="1" applyBorder="1" applyAlignment="1" applyProtection="1">
      <alignment vertical="center"/>
      <protection hidden="1"/>
    </xf>
    <xf numFmtId="0" fontId="11" fillId="6" borderId="29" xfId="0" applyFont="1" applyFill="1" applyBorder="1" applyAlignment="1" applyProtection="1">
      <alignment vertical="center"/>
      <protection hidden="1"/>
    </xf>
    <xf numFmtId="0" fontId="37" fillId="0" borderId="0" xfId="0" applyFont="1" applyBorder="1" applyAlignment="1" applyProtection="1">
      <alignment vertical="center"/>
      <protection hidden="1"/>
    </xf>
    <xf numFmtId="0" fontId="54" fillId="6" borderId="4" xfId="0" applyFont="1" applyFill="1" applyBorder="1" applyAlignment="1" applyProtection="1">
      <alignment vertical="center" wrapText="1"/>
      <protection hidden="1"/>
    </xf>
    <xf numFmtId="0" fontId="54" fillId="6" borderId="0" xfId="0" applyFont="1" applyFill="1" applyBorder="1" applyAlignment="1" applyProtection="1">
      <alignment vertical="center" wrapText="1"/>
      <protection hidden="1"/>
    </xf>
    <xf numFmtId="0" fontId="54" fillId="6" borderId="31" xfId="0" applyFont="1" applyFill="1" applyBorder="1" applyAlignment="1" applyProtection="1">
      <alignment vertical="center" wrapText="1"/>
      <protection hidden="1"/>
    </xf>
    <xf numFmtId="0" fontId="7" fillId="14" borderId="0" xfId="0" applyFont="1" applyFill="1">
      <alignment vertical="center"/>
    </xf>
    <xf numFmtId="0" fontId="6" fillId="14" borderId="0" xfId="0" applyFont="1" applyFill="1">
      <alignment vertical="center"/>
    </xf>
    <xf numFmtId="0" fontId="0" fillId="14" borderId="76" xfId="0" applyFont="1" applyFill="1" applyBorder="1" applyAlignment="1">
      <alignment vertical="center"/>
    </xf>
    <xf numFmtId="0" fontId="0" fillId="14" borderId="62" xfId="0" applyFont="1" applyFill="1" applyBorder="1" applyAlignment="1">
      <alignment vertical="center"/>
    </xf>
    <xf numFmtId="0" fontId="0" fillId="14" borderId="63" xfId="0" applyFont="1" applyFill="1" applyBorder="1" applyAlignment="1">
      <alignment vertical="center"/>
    </xf>
    <xf numFmtId="0" fontId="0" fillId="14" borderId="16" xfId="0" applyFont="1" applyFill="1" applyBorder="1" applyAlignment="1">
      <alignment vertical="center"/>
    </xf>
    <xf numFmtId="0" fontId="0" fillId="14" borderId="18" xfId="0" applyFont="1" applyFill="1" applyBorder="1" applyAlignment="1">
      <alignment vertical="center"/>
    </xf>
    <xf numFmtId="0" fontId="0" fillId="14" borderId="17" xfId="0" applyFont="1" applyFill="1" applyBorder="1" applyAlignment="1">
      <alignment vertical="center"/>
    </xf>
    <xf numFmtId="0" fontId="0" fillId="14" borderId="77" xfId="0" applyFont="1" applyFill="1" applyBorder="1" applyAlignment="1">
      <alignment vertical="center"/>
    </xf>
    <xf numFmtId="0" fontId="0" fillId="14" borderId="28" xfId="0" applyFont="1" applyFill="1" applyBorder="1" applyAlignment="1">
      <alignment vertical="center"/>
    </xf>
    <xf numFmtId="0" fontId="0" fillId="14" borderId="38" xfId="0" applyFont="1" applyFill="1" applyBorder="1" applyAlignment="1">
      <alignment vertical="center"/>
    </xf>
    <xf numFmtId="0" fontId="0" fillId="14" borderId="78" xfId="0" applyFont="1" applyFill="1" applyBorder="1" applyAlignment="1">
      <alignment vertical="center"/>
    </xf>
    <xf numFmtId="0" fontId="0" fillId="14" borderId="68" xfId="0" applyFont="1" applyFill="1" applyBorder="1" applyAlignment="1">
      <alignment vertical="center"/>
    </xf>
    <xf numFmtId="0" fontId="0" fillId="14" borderId="69" xfId="0" applyFont="1" applyFill="1" applyBorder="1" applyAlignment="1">
      <alignment vertical="center"/>
    </xf>
    <xf numFmtId="0" fontId="0" fillId="14" borderId="14" xfId="0" applyFont="1" applyFill="1" applyBorder="1" applyAlignment="1">
      <alignment vertical="center"/>
    </xf>
    <xf numFmtId="0" fontId="0" fillId="14" borderId="15" xfId="0" applyFont="1" applyFill="1" applyBorder="1" applyAlignment="1">
      <alignment vertical="center"/>
    </xf>
    <xf numFmtId="184" fontId="56" fillId="6" borderId="28" xfId="0" applyNumberFormat="1" applyFont="1" applyFill="1" applyBorder="1" applyAlignment="1" applyProtection="1">
      <alignment horizontal="center" vertical="center"/>
      <protection hidden="1"/>
    </xf>
    <xf numFmtId="184" fontId="56" fillId="0" borderId="28" xfId="0" applyNumberFormat="1" applyFont="1" applyFill="1" applyBorder="1" applyAlignment="1" applyProtection="1">
      <alignment horizontal="center" vertical="center"/>
      <protection hidden="1"/>
    </xf>
    <xf numFmtId="0" fontId="13" fillId="0" borderId="0" xfId="0" applyFont="1" applyAlignment="1">
      <alignment vertical="center"/>
    </xf>
    <xf numFmtId="0" fontId="6" fillId="0" borderId="0" xfId="0" applyFont="1" applyBorder="1">
      <alignment vertical="center"/>
    </xf>
    <xf numFmtId="0" fontId="7" fillId="0" borderId="76" xfId="0" applyFont="1" applyBorder="1">
      <alignment vertical="center"/>
    </xf>
    <xf numFmtId="0" fontId="6" fillId="0" borderId="63" xfId="0" applyFont="1" applyBorder="1">
      <alignment vertical="center"/>
    </xf>
    <xf numFmtId="0" fontId="6" fillId="0" borderId="116" xfId="0" applyFont="1" applyBorder="1">
      <alignment vertical="center"/>
    </xf>
    <xf numFmtId="0" fontId="6" fillId="0" borderId="117" xfId="0" applyFont="1" applyBorder="1">
      <alignment vertical="center"/>
    </xf>
    <xf numFmtId="0" fontId="7" fillId="0" borderId="61" xfId="0" applyFont="1" applyBorder="1" applyAlignment="1">
      <alignment horizontal="center" vertical="center"/>
    </xf>
    <xf numFmtId="0" fontId="6" fillId="0" borderId="58" xfId="0" applyFont="1" applyBorder="1" applyAlignment="1">
      <alignment horizontal="center" vertical="center"/>
    </xf>
    <xf numFmtId="0" fontId="6" fillId="0" borderId="0" xfId="0" applyFont="1" applyAlignment="1">
      <alignment vertical="center"/>
    </xf>
    <xf numFmtId="0" fontId="6" fillId="0" borderId="59" xfId="0" applyFont="1" applyBorder="1">
      <alignment vertical="center"/>
    </xf>
    <xf numFmtId="0" fontId="6" fillId="0" borderId="118" xfId="0" applyFont="1" applyBorder="1">
      <alignment vertical="center"/>
    </xf>
    <xf numFmtId="0" fontId="6" fillId="0" borderId="57" xfId="0" applyFont="1" applyBorder="1" applyAlignment="1">
      <alignment horizontal="center" vertical="center"/>
    </xf>
    <xf numFmtId="0" fontId="6" fillId="0" borderId="69" xfId="0" applyFont="1" applyBorder="1" applyAlignment="1">
      <alignment horizontal="center" vertical="center"/>
    </xf>
    <xf numFmtId="0" fontId="6" fillId="0" borderId="15" xfId="0" applyFont="1" applyBorder="1">
      <alignment vertical="center"/>
    </xf>
    <xf numFmtId="176" fontId="5" fillId="0" borderId="18" xfId="0" applyNumberFormat="1"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5" fillId="0" borderId="19" xfId="0" applyFont="1" applyBorder="1" applyAlignment="1" applyProtection="1">
      <alignment horizontal="center" vertical="center"/>
      <protection hidden="1"/>
    </xf>
    <xf numFmtId="0" fontId="5" fillId="0" borderId="30" xfId="0" applyFont="1" applyBorder="1" applyAlignment="1" applyProtection="1">
      <alignment horizontal="center" vertical="center"/>
      <protection hidden="1"/>
    </xf>
    <xf numFmtId="0" fontId="7" fillId="0" borderId="18" xfId="0"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6" fillId="0" borderId="18" xfId="0" applyFont="1" applyBorder="1" applyAlignment="1" applyProtection="1">
      <alignment vertical="center"/>
      <protection hidden="1"/>
    </xf>
    <xf numFmtId="0" fontId="6" fillId="0" borderId="39" xfId="0" applyFont="1" applyBorder="1" applyAlignment="1" applyProtection="1">
      <alignment vertical="center"/>
      <protection hidden="1"/>
    </xf>
    <xf numFmtId="0" fontId="6" fillId="0" borderId="47" xfId="0" applyFont="1" applyBorder="1" applyAlignment="1" applyProtection="1">
      <alignment horizontal="center" vertical="center"/>
      <protection hidden="1"/>
    </xf>
    <xf numFmtId="0" fontId="6" fillId="0" borderId="47" xfId="0" applyFont="1" applyFill="1" applyBorder="1" applyAlignment="1" applyProtection="1">
      <alignment horizontal="center" vertical="center"/>
      <protection hidden="1"/>
    </xf>
    <xf numFmtId="0" fontId="6" fillId="0" borderId="48" xfId="0" applyFont="1" applyFill="1" applyBorder="1" applyAlignment="1" applyProtection="1">
      <alignment horizontal="center" vertical="center"/>
      <protection hidden="1"/>
    </xf>
    <xf numFmtId="179" fontId="6" fillId="0" borderId="46" xfId="0" applyNumberFormat="1" applyFont="1" applyBorder="1" applyAlignment="1" applyProtection="1">
      <alignment horizontal="center" vertical="center"/>
      <protection hidden="1"/>
    </xf>
    <xf numFmtId="176" fontId="6" fillId="0" borderId="18" xfId="0" applyNumberFormat="1" applyFont="1" applyBorder="1" applyAlignment="1" applyProtection="1">
      <alignment vertical="center"/>
      <protection hidden="1"/>
    </xf>
    <xf numFmtId="0" fontId="57" fillId="6" borderId="28" xfId="0" applyFont="1" applyFill="1" applyBorder="1" applyAlignment="1" applyProtection="1">
      <alignment horizontal="center"/>
      <protection hidden="1"/>
    </xf>
    <xf numFmtId="176" fontId="7" fillId="6" borderId="120" xfId="0" applyNumberFormat="1" applyFont="1" applyFill="1" applyBorder="1" applyAlignment="1" applyProtection="1">
      <alignment horizontal="left" vertical="center" shrinkToFit="1"/>
      <protection hidden="1"/>
    </xf>
    <xf numFmtId="0" fontId="3" fillId="0" borderId="0" xfId="0" applyFont="1" applyBorder="1">
      <alignment vertical="center"/>
    </xf>
    <xf numFmtId="0" fontId="30" fillId="0" borderId="0" xfId="0" applyFont="1" applyFill="1" applyBorder="1" applyAlignment="1" applyProtection="1">
      <alignment vertical="center"/>
      <protection hidden="1"/>
    </xf>
    <xf numFmtId="0" fontId="7" fillId="0" borderId="0" xfId="0" applyFont="1" applyFill="1" applyBorder="1" applyAlignment="1" applyProtection="1">
      <alignment vertical="center"/>
      <protection hidden="1"/>
    </xf>
    <xf numFmtId="0" fontId="6" fillId="0" borderId="0" xfId="0" applyFont="1" applyFill="1" applyBorder="1" applyAlignment="1" applyProtection="1">
      <alignment vertical="center"/>
      <protection hidden="1"/>
    </xf>
    <xf numFmtId="0" fontId="7" fillId="0" borderId="0" xfId="0" applyFont="1" applyFill="1" applyBorder="1" applyAlignment="1" applyProtection="1">
      <protection hidden="1"/>
    </xf>
    <xf numFmtId="0" fontId="6" fillId="0" borderId="0" xfId="0" applyFont="1" applyFill="1" applyBorder="1" applyAlignment="1" applyProtection="1">
      <protection hidden="1"/>
    </xf>
    <xf numFmtId="0" fontId="0" fillId="0" borderId="0" xfId="0" applyFill="1" applyBorder="1" applyAlignment="1" applyProtection="1">
      <protection hidden="1"/>
    </xf>
    <xf numFmtId="0" fontId="9" fillId="0" borderId="0" xfId="0" applyFont="1" applyFill="1" applyBorder="1" applyAlignment="1" applyProtection="1">
      <protection hidden="1"/>
    </xf>
    <xf numFmtId="0" fontId="35" fillId="0" borderId="0" xfId="0" applyFont="1" applyFill="1" applyBorder="1" applyAlignment="1" applyProtection="1">
      <protection hidden="1"/>
    </xf>
    <xf numFmtId="0" fontId="4" fillId="0" borderId="0" xfId="0" applyFont="1" applyFill="1" applyBorder="1" applyAlignment="1" applyProtection="1">
      <protection hidden="1"/>
    </xf>
    <xf numFmtId="0" fontId="1" fillId="0" borderId="0" xfId="0" applyFont="1" applyFill="1" applyBorder="1" applyAlignment="1" applyProtection="1">
      <alignment vertical="center"/>
      <protection hidden="1"/>
    </xf>
    <xf numFmtId="0" fontId="3" fillId="0" borderId="0" xfId="0" applyFont="1" applyFill="1" applyBorder="1">
      <alignment vertical="center"/>
    </xf>
    <xf numFmtId="0" fontId="0" fillId="0" borderId="0" xfId="0" applyFill="1" applyBorder="1" applyAlignment="1">
      <alignment vertical="center"/>
    </xf>
    <xf numFmtId="0" fontId="37" fillId="0" borderId="0" xfId="0" applyFont="1" applyFill="1" applyBorder="1" applyAlignment="1" applyProtection="1">
      <alignment vertical="center"/>
      <protection hidden="1"/>
    </xf>
    <xf numFmtId="0" fontId="40" fillId="0" borderId="0" xfId="0" applyFont="1" applyFill="1" applyBorder="1" applyAlignment="1" applyProtection="1">
      <alignment vertical="center"/>
      <protection hidden="1"/>
    </xf>
    <xf numFmtId="0" fontId="13" fillId="0" borderId="0"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6" fillId="0" borderId="0" xfId="0" applyFont="1" applyFill="1" applyBorder="1" applyAlignment="1">
      <alignment vertical="center"/>
    </xf>
    <xf numFmtId="0" fontId="0" fillId="0" borderId="0" xfId="0" applyFill="1" applyBorder="1" applyAlignment="1" applyProtection="1">
      <alignment vertical="center"/>
      <protection locked="0"/>
    </xf>
    <xf numFmtId="0" fontId="9" fillId="0" borderId="0" xfId="0" applyFont="1" applyFill="1" applyBorder="1" applyAlignment="1" applyProtection="1">
      <alignment vertical="center"/>
      <protection hidden="1"/>
    </xf>
    <xf numFmtId="0" fontId="9" fillId="0" borderId="0" xfId="0" applyFont="1" applyFill="1" applyBorder="1" applyAlignment="1" applyProtection="1">
      <alignment horizontal="center" vertical="center"/>
      <protection hidden="1"/>
    </xf>
    <xf numFmtId="0" fontId="0" fillId="0" borderId="0" xfId="0" applyFont="1" applyFill="1" applyBorder="1" applyAlignment="1" applyProtection="1">
      <alignment vertical="center"/>
      <protection hidden="1"/>
    </xf>
    <xf numFmtId="186" fontId="11" fillId="0" borderId="0" xfId="0" applyNumberFormat="1" applyFont="1" applyFill="1" applyBorder="1" applyAlignment="1" applyProtection="1">
      <alignment horizontal="center" vertical="center"/>
      <protection hidden="1"/>
    </xf>
    <xf numFmtId="186" fontId="11" fillId="0" borderId="0" xfId="0" applyNumberFormat="1" applyFont="1" applyFill="1" applyBorder="1" applyAlignment="1" applyProtection="1">
      <alignment horizontal="center" vertical="center" shrinkToFit="1"/>
      <protection hidden="1"/>
    </xf>
    <xf numFmtId="0" fontId="7" fillId="0" borderId="0" xfId="0" applyFont="1" applyFill="1" applyBorder="1">
      <alignment vertical="center"/>
    </xf>
    <xf numFmtId="0" fontId="9" fillId="0" borderId="0" xfId="0" applyFont="1" applyFill="1" applyBorder="1" applyAlignment="1">
      <alignment vertical="center"/>
    </xf>
    <xf numFmtId="184" fontId="7" fillId="0" borderId="0" xfId="0" applyNumberFormat="1" applyFont="1" applyFill="1" applyBorder="1">
      <alignment vertical="center"/>
    </xf>
    <xf numFmtId="0" fontId="7" fillId="15" borderId="0" xfId="0" applyFont="1" applyFill="1">
      <alignment vertical="center"/>
    </xf>
    <xf numFmtId="0" fontId="6" fillId="15" borderId="0" xfId="0" applyFont="1" applyFill="1">
      <alignment vertical="center"/>
    </xf>
    <xf numFmtId="0" fontId="0" fillId="15" borderId="76" xfId="0" applyFont="1" applyFill="1" applyBorder="1" applyAlignment="1">
      <alignment vertical="center"/>
    </xf>
    <xf numFmtId="0" fontId="0" fillId="15" borderId="62" xfId="0" applyFont="1" applyFill="1" applyBorder="1" applyAlignment="1">
      <alignment vertical="center"/>
    </xf>
    <xf numFmtId="0" fontId="0" fillId="15" borderId="63" xfId="0" applyFont="1" applyFill="1" applyBorder="1" applyAlignment="1">
      <alignment vertical="center"/>
    </xf>
    <xf numFmtId="0" fontId="0" fillId="15" borderId="16" xfId="0" applyFont="1" applyFill="1" applyBorder="1" applyAlignment="1">
      <alignment vertical="center"/>
    </xf>
    <xf numFmtId="0" fontId="0" fillId="15" borderId="18" xfId="0" applyFont="1" applyFill="1" applyBorder="1" applyAlignment="1">
      <alignment vertical="center"/>
    </xf>
    <xf numFmtId="0" fontId="0" fillId="15" borderId="17" xfId="0" applyFont="1" applyFill="1" applyBorder="1" applyAlignment="1">
      <alignment vertical="center"/>
    </xf>
    <xf numFmtId="0" fontId="0" fillId="15" borderId="77" xfId="0" applyFont="1" applyFill="1" applyBorder="1" applyAlignment="1">
      <alignment vertical="center"/>
    </xf>
    <xf numFmtId="0" fontId="0" fillId="15" borderId="28" xfId="0" applyFont="1" applyFill="1" applyBorder="1" applyAlignment="1">
      <alignment vertical="center"/>
    </xf>
    <xf numFmtId="0" fontId="0" fillId="15" borderId="38" xfId="0" applyFont="1" applyFill="1" applyBorder="1" applyAlignment="1">
      <alignment vertical="center"/>
    </xf>
    <xf numFmtId="0" fontId="0" fillId="15" borderId="78" xfId="0" applyFont="1" applyFill="1" applyBorder="1" applyAlignment="1">
      <alignment vertical="center"/>
    </xf>
    <xf numFmtId="0" fontId="0" fillId="15" borderId="68" xfId="0" applyFont="1" applyFill="1" applyBorder="1" applyAlignment="1">
      <alignment vertical="center"/>
    </xf>
    <xf numFmtId="0" fontId="0" fillId="15" borderId="69" xfId="0" applyFont="1" applyFill="1" applyBorder="1" applyAlignment="1">
      <alignment vertical="center"/>
    </xf>
    <xf numFmtId="0" fontId="0" fillId="15" borderId="54" xfId="0" applyFont="1" applyFill="1" applyBorder="1" applyAlignment="1">
      <alignment vertical="center"/>
    </xf>
    <xf numFmtId="0" fontId="0" fillId="15" borderId="14" xfId="0" applyFont="1" applyFill="1" applyBorder="1" applyAlignment="1">
      <alignment vertical="center"/>
    </xf>
    <xf numFmtId="0" fontId="0" fillId="15" borderId="15" xfId="0" applyFont="1" applyFill="1" applyBorder="1" applyAlignment="1">
      <alignment vertical="center"/>
    </xf>
    <xf numFmtId="0" fontId="6" fillId="6" borderId="116" xfId="0" applyFont="1" applyFill="1" applyBorder="1" applyAlignment="1" applyProtection="1">
      <alignment vertical="center"/>
      <protection hidden="1"/>
    </xf>
    <xf numFmtId="0" fontId="7" fillId="0" borderId="28" xfId="0" applyFont="1" applyBorder="1">
      <alignment vertical="center"/>
    </xf>
    <xf numFmtId="0" fontId="4" fillId="0" borderId="117" xfId="0" applyFont="1" applyBorder="1">
      <alignment vertical="center"/>
    </xf>
    <xf numFmtId="184" fontId="6" fillId="6" borderId="117" xfId="0" applyNumberFormat="1" applyFont="1" applyFill="1" applyBorder="1" applyAlignment="1" applyProtection="1">
      <alignment horizontal="center" vertical="center"/>
      <protection hidden="1"/>
    </xf>
    <xf numFmtId="184" fontId="6" fillId="0" borderId="117" xfId="0" applyNumberFormat="1" applyFont="1" applyBorder="1" applyAlignment="1">
      <alignment horizontal="center" vertical="center"/>
    </xf>
    <xf numFmtId="0" fontId="6" fillId="6" borderId="78" xfId="0" applyFont="1" applyFill="1" applyBorder="1" applyAlignment="1" applyProtection="1">
      <alignment vertical="center"/>
      <protection hidden="1"/>
    </xf>
    <xf numFmtId="0" fontId="0" fillId="0" borderId="116" xfId="0" applyBorder="1">
      <alignment vertical="center"/>
    </xf>
    <xf numFmtId="0" fontId="4" fillId="0" borderId="76" xfId="0" applyFont="1" applyBorder="1">
      <alignment vertical="center"/>
    </xf>
    <xf numFmtId="184" fontId="6" fillId="0" borderId="63" xfId="0" applyNumberFormat="1" applyFont="1" applyBorder="1" applyAlignment="1">
      <alignment horizontal="center" vertical="center"/>
    </xf>
    <xf numFmtId="0" fontId="4" fillId="0" borderId="116" xfId="0" applyFont="1" applyBorder="1">
      <alignment vertical="center"/>
    </xf>
    <xf numFmtId="184" fontId="6" fillId="6" borderId="116" xfId="0" applyNumberFormat="1" applyFont="1" applyFill="1" applyBorder="1" applyAlignment="1" applyProtection="1">
      <alignment horizontal="center" vertical="center"/>
      <protection hidden="1"/>
    </xf>
    <xf numFmtId="184" fontId="6" fillId="0" borderId="116" xfId="0" applyNumberFormat="1" applyFont="1" applyBorder="1" applyAlignment="1">
      <alignment horizontal="center" vertical="center"/>
    </xf>
    <xf numFmtId="184" fontId="6" fillId="0" borderId="78" xfId="0" applyNumberFormat="1" applyFont="1" applyBorder="1" applyAlignment="1">
      <alignment horizontal="center" vertical="center"/>
    </xf>
    <xf numFmtId="0" fontId="4" fillId="0" borderId="121" xfId="0" applyFont="1" applyBorder="1">
      <alignment vertical="center"/>
    </xf>
    <xf numFmtId="0" fontId="9" fillId="0" borderId="121" xfId="0" applyFont="1" applyBorder="1">
      <alignment vertical="center"/>
    </xf>
    <xf numFmtId="179" fontId="6" fillId="0" borderId="121" xfId="0" applyNumberFormat="1" applyFont="1" applyBorder="1" applyAlignment="1">
      <alignment horizontal="center" vertical="center"/>
    </xf>
    <xf numFmtId="179" fontId="6" fillId="14" borderId="121" xfId="0" applyNumberFormat="1" applyFont="1" applyFill="1" applyBorder="1" applyAlignment="1">
      <alignment horizontal="center" vertical="center"/>
    </xf>
    <xf numFmtId="0" fontId="9" fillId="0" borderId="62" xfId="0" applyFont="1" applyBorder="1">
      <alignment vertical="center"/>
    </xf>
    <xf numFmtId="0" fontId="9" fillId="0" borderId="28" xfId="0" applyFont="1" applyBorder="1">
      <alignment vertical="center"/>
    </xf>
    <xf numFmtId="0" fontId="9" fillId="12" borderId="28" xfId="0" applyFont="1" applyFill="1" applyBorder="1">
      <alignment vertical="center"/>
    </xf>
    <xf numFmtId="0" fontId="9" fillId="0" borderId="117" xfId="0" applyFont="1" applyBorder="1">
      <alignment vertical="center"/>
    </xf>
    <xf numFmtId="0" fontId="0" fillId="0" borderId="117" xfId="0" applyFont="1" applyBorder="1" applyAlignment="1">
      <alignment horizontal="center" vertical="center"/>
    </xf>
    <xf numFmtId="0" fontId="9" fillId="0" borderId="68" xfId="0" applyFont="1" applyBorder="1">
      <alignment vertical="center"/>
    </xf>
    <xf numFmtId="0" fontId="0" fillId="0" borderId="69" xfId="0" applyFont="1" applyBorder="1" applyAlignment="1">
      <alignment horizontal="center" vertical="center"/>
    </xf>
    <xf numFmtId="0" fontId="9" fillId="0" borderId="35" xfId="0" applyFont="1" applyBorder="1">
      <alignment vertical="center"/>
    </xf>
    <xf numFmtId="0" fontId="9" fillId="0" borderId="51" xfId="0" applyFont="1" applyBorder="1">
      <alignment vertical="center"/>
    </xf>
    <xf numFmtId="0" fontId="0" fillId="0" borderId="51" xfId="0" applyFont="1" applyBorder="1" applyAlignment="1">
      <alignment horizontal="center" vertical="center"/>
    </xf>
    <xf numFmtId="0" fontId="9" fillId="0" borderId="78" xfId="0" applyFont="1" applyBorder="1">
      <alignment vertical="center"/>
    </xf>
    <xf numFmtId="0" fontId="9" fillId="0" borderId="39" xfId="0" applyFont="1" applyBorder="1">
      <alignment vertical="center"/>
    </xf>
    <xf numFmtId="0" fontId="9" fillId="0" borderId="67" xfId="0" applyFont="1" applyBorder="1">
      <alignment vertical="center"/>
    </xf>
    <xf numFmtId="0" fontId="9" fillId="0" borderId="34" xfId="0" applyFont="1" applyBorder="1">
      <alignment vertical="center"/>
    </xf>
    <xf numFmtId="0" fontId="6" fillId="6" borderId="122" xfId="0" applyFont="1" applyFill="1" applyBorder="1" applyAlignment="1" applyProtection="1">
      <alignment vertical="center"/>
      <protection hidden="1"/>
    </xf>
    <xf numFmtId="0" fontId="6" fillId="6" borderId="123" xfId="0" applyFont="1" applyFill="1" applyBorder="1" applyAlignment="1" applyProtection="1">
      <alignment vertical="center"/>
      <protection hidden="1"/>
    </xf>
    <xf numFmtId="0" fontId="6" fillId="6" borderId="81" xfId="0" applyFont="1" applyFill="1" applyBorder="1" applyAlignment="1" applyProtection="1">
      <alignment vertical="center"/>
      <protection hidden="1"/>
    </xf>
    <xf numFmtId="0" fontId="9" fillId="0" borderId="60" xfId="0" applyFont="1" applyBorder="1" applyAlignment="1">
      <alignment horizontal="center" vertical="center"/>
    </xf>
    <xf numFmtId="0" fontId="9" fillId="0" borderId="39" xfId="0" applyFont="1" applyBorder="1" applyAlignment="1">
      <alignment horizontal="center" vertical="center"/>
    </xf>
    <xf numFmtId="0" fontId="9" fillId="0" borderId="67" xfId="0" applyFont="1" applyBorder="1" applyAlignment="1">
      <alignment horizontal="center" vertical="center"/>
    </xf>
    <xf numFmtId="0" fontId="0" fillId="0" borderId="28" xfId="0" applyFont="1" applyBorder="1">
      <alignment vertical="center"/>
    </xf>
    <xf numFmtId="0" fontId="0" fillId="0" borderId="117" xfId="0" applyFont="1" applyBorder="1">
      <alignment vertical="center"/>
    </xf>
    <xf numFmtId="0" fontId="0" fillId="0" borderId="116" xfId="0" applyFont="1" applyBorder="1">
      <alignment vertical="center"/>
    </xf>
    <xf numFmtId="0" fontId="0" fillId="0" borderId="68" xfId="0" applyFont="1" applyBorder="1">
      <alignment vertical="center"/>
    </xf>
    <xf numFmtId="0" fontId="0" fillId="0" borderId="69" xfId="0" applyFont="1" applyBorder="1">
      <alignment vertical="center"/>
    </xf>
    <xf numFmtId="0" fontId="47" fillId="0" borderId="2" xfId="0" applyFont="1" applyBorder="1" applyAlignment="1">
      <alignment vertical="center"/>
    </xf>
    <xf numFmtId="0" fontId="12" fillId="0" borderId="2" xfId="0" applyFont="1" applyFill="1" applyBorder="1" applyAlignment="1">
      <alignment horizontal="center" vertical="center"/>
    </xf>
    <xf numFmtId="0" fontId="14" fillId="0" borderId="2" xfId="0" applyFont="1" applyFill="1" applyBorder="1">
      <alignment vertical="center"/>
    </xf>
    <xf numFmtId="0" fontId="14" fillId="0" borderId="2" xfId="0" applyFont="1" applyFill="1" applyBorder="1" applyAlignment="1">
      <alignment horizontal="center" vertical="center"/>
    </xf>
    <xf numFmtId="0" fontId="48"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xf>
    <xf numFmtId="0" fontId="48" fillId="0" borderId="6"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6" xfId="0" applyFont="1" applyFill="1" applyBorder="1">
      <alignment vertical="center"/>
    </xf>
    <xf numFmtId="0" fontId="14" fillId="0" borderId="7" xfId="0" applyFont="1" applyFill="1" applyBorder="1">
      <alignment vertical="center"/>
    </xf>
    <xf numFmtId="0" fontId="14" fillId="0" borderId="1" xfId="0" applyFont="1" applyFill="1" applyBorder="1">
      <alignment vertical="center"/>
    </xf>
    <xf numFmtId="0" fontId="14" fillId="0" borderId="4" xfId="0" applyFont="1" applyFill="1" applyBorder="1">
      <alignment vertical="center"/>
    </xf>
    <xf numFmtId="179" fontId="14" fillId="0" borderId="6" xfId="0" applyNumberFormat="1" applyFont="1" applyFill="1" applyBorder="1" applyAlignment="1">
      <alignment horizontal="center" vertical="center"/>
    </xf>
    <xf numFmtId="0" fontId="14" fillId="0" borderId="1" xfId="0" applyFont="1" applyFill="1" applyBorder="1" applyAlignment="1">
      <alignment vertical="center"/>
    </xf>
    <xf numFmtId="0" fontId="14" fillId="0" borderId="2" xfId="0" applyFont="1" applyFill="1" applyBorder="1" applyAlignment="1">
      <alignment vertical="center"/>
    </xf>
    <xf numFmtId="0" fontId="14" fillId="0" borderId="0" xfId="0" applyFont="1" applyFill="1" applyBorder="1" applyAlignment="1">
      <alignment vertical="center"/>
    </xf>
    <xf numFmtId="179" fontId="14" fillId="0" borderId="0" xfId="0" applyNumberFormat="1" applyFont="1" applyFill="1" applyBorder="1" applyAlignment="1">
      <alignment vertical="center"/>
    </xf>
    <xf numFmtId="0" fontId="14" fillId="0" borderId="0" xfId="0" applyFont="1" applyFill="1" applyBorder="1" applyAlignment="1">
      <alignment vertical="center" shrinkToFit="1"/>
    </xf>
    <xf numFmtId="0" fontId="5" fillId="0" borderId="2" xfId="0" applyFont="1" applyFill="1" applyBorder="1">
      <alignment vertical="center"/>
    </xf>
    <xf numFmtId="0" fontId="5" fillId="0" borderId="0" xfId="0" applyFont="1" applyFill="1" applyBorder="1">
      <alignment vertical="center"/>
    </xf>
    <xf numFmtId="0" fontId="12" fillId="0" borderId="2" xfId="0" applyFont="1" applyFill="1" applyBorder="1" applyAlignment="1">
      <alignment vertical="center" wrapText="1"/>
    </xf>
    <xf numFmtId="0" fontId="0" fillId="0" borderId="2" xfId="0" applyFill="1" applyBorder="1" applyAlignment="1">
      <alignment vertical="center"/>
    </xf>
    <xf numFmtId="0" fontId="14" fillId="0" borderId="0" xfId="0" applyFont="1" applyFill="1" applyBorder="1" applyAlignment="1">
      <alignment vertical="center" wrapText="1"/>
    </xf>
    <xf numFmtId="0" fontId="12" fillId="0" borderId="0" xfId="0" applyFont="1" applyFill="1" applyBorder="1" applyAlignment="1">
      <alignment vertical="center" wrapText="1"/>
    </xf>
    <xf numFmtId="0" fontId="0" fillId="0" borderId="0" xfId="0" applyFill="1" applyBorder="1" applyAlignment="1">
      <alignment vertical="center" wrapText="1"/>
    </xf>
    <xf numFmtId="179" fontId="14" fillId="0" borderId="0" xfId="0" applyNumberFormat="1" applyFont="1" applyFill="1" applyBorder="1" applyAlignment="1">
      <alignment vertical="center" wrapText="1"/>
    </xf>
    <xf numFmtId="0" fontId="14" fillId="0" borderId="4" xfId="0" applyFont="1" applyFill="1" applyBorder="1" applyAlignment="1">
      <alignment horizontal="right" vertical="center"/>
    </xf>
    <xf numFmtId="178" fontId="14" fillId="0" borderId="0" xfId="0" applyNumberFormat="1" applyFont="1" applyFill="1" applyBorder="1" applyAlignment="1">
      <alignment horizontal="center" vertical="center"/>
    </xf>
    <xf numFmtId="0" fontId="14" fillId="0" borderId="8" xfId="0" applyFont="1" applyFill="1" applyBorder="1" applyAlignment="1">
      <alignment horizontal="right" vertical="center"/>
    </xf>
    <xf numFmtId="178" fontId="14" fillId="0" borderId="6" xfId="0" applyNumberFormat="1" applyFont="1" applyFill="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4" fillId="0" borderId="54" xfId="0" applyFont="1" applyBorder="1" applyAlignment="1">
      <alignment horizontal="center" vertical="center"/>
    </xf>
    <xf numFmtId="0" fontId="4" fillId="0" borderId="124" xfId="0" applyFont="1" applyBorder="1" applyAlignment="1">
      <alignment horizontal="center" vertical="center"/>
    </xf>
    <xf numFmtId="0" fontId="4" fillId="0" borderId="16" xfId="0" applyFont="1" applyBorder="1" applyAlignment="1">
      <alignment horizontal="center" vertical="center"/>
    </xf>
    <xf numFmtId="0" fontId="9" fillId="0" borderId="50" xfId="0" applyFont="1" applyBorder="1" applyAlignment="1">
      <alignment horizontal="center" vertical="center"/>
    </xf>
    <xf numFmtId="0" fontId="4" fillId="0" borderId="61" xfId="0" applyFont="1" applyBorder="1" applyAlignment="1">
      <alignment horizontal="center" vertical="center"/>
    </xf>
    <xf numFmtId="0" fontId="9" fillId="0" borderId="52" xfId="0" applyFont="1" applyBorder="1" applyAlignment="1">
      <alignment horizontal="center" vertical="center"/>
    </xf>
    <xf numFmtId="179" fontId="14" fillId="0" borderId="6" xfId="0" applyNumberFormat="1" applyFont="1" applyFill="1" applyBorder="1" applyAlignment="1">
      <alignment vertical="center"/>
    </xf>
    <xf numFmtId="0" fontId="7" fillId="0" borderId="6" xfId="0" applyFont="1" applyFill="1" applyBorder="1" applyAlignment="1" applyProtection="1">
      <alignment vertical="center"/>
      <protection hidden="1"/>
    </xf>
    <xf numFmtId="0" fontId="0" fillId="0" borderId="7" xfId="0" applyFont="1" applyFill="1" applyBorder="1" applyAlignment="1">
      <alignment horizontal="right" vertical="center"/>
    </xf>
    <xf numFmtId="14" fontId="6" fillId="0" borderId="0" xfId="0" applyNumberFormat="1" applyFont="1" applyFill="1" applyBorder="1" applyAlignment="1" applyProtection="1">
      <alignment vertical="center"/>
      <protection hidden="1"/>
    </xf>
    <xf numFmtId="0" fontId="5" fillId="0" borderId="0" xfId="0" applyFont="1" applyBorder="1">
      <alignment vertical="center"/>
    </xf>
    <xf numFmtId="0" fontId="6" fillId="0" borderId="11" xfId="0" applyFont="1" applyBorder="1" applyAlignment="1" applyProtection="1">
      <alignment vertical="center"/>
      <protection hidden="1"/>
    </xf>
    <xf numFmtId="179" fontId="6" fillId="0" borderId="0" xfId="0" applyNumberFormat="1" applyFont="1" applyBorder="1" applyAlignment="1" applyProtection="1">
      <alignment horizontal="center" vertical="center"/>
      <protection hidden="1"/>
    </xf>
    <xf numFmtId="0" fontId="6" fillId="6" borderId="99" xfId="0" applyFont="1" applyFill="1" applyBorder="1" applyAlignment="1" applyProtection="1">
      <alignment horizontal="center" vertical="center"/>
      <protection hidden="1"/>
    </xf>
    <xf numFmtId="0" fontId="7" fillId="6" borderId="120" xfId="0" applyFont="1" applyFill="1" applyBorder="1" applyAlignment="1" applyProtection="1">
      <alignment vertical="center" shrinkToFit="1"/>
      <protection hidden="1"/>
    </xf>
    <xf numFmtId="0" fontId="6" fillId="14" borderId="0" xfId="0" applyFont="1" applyFill="1" applyBorder="1">
      <alignment vertical="center"/>
    </xf>
    <xf numFmtId="0" fontId="7" fillId="14" borderId="0" xfId="0" applyFont="1" applyFill="1" applyBorder="1">
      <alignment vertical="center"/>
    </xf>
    <xf numFmtId="0" fontId="7" fillId="14" borderId="1" xfId="0" applyFont="1" applyFill="1" applyBorder="1">
      <alignment vertical="center"/>
    </xf>
    <xf numFmtId="176" fontId="41" fillId="14" borderId="2" xfId="0" applyNumberFormat="1" applyFont="1" applyFill="1" applyBorder="1" applyAlignment="1" applyProtection="1">
      <alignment vertical="center"/>
      <protection hidden="1"/>
    </xf>
    <xf numFmtId="0" fontId="11" fillId="14" borderId="2" xfId="0" applyFont="1" applyFill="1" applyBorder="1" applyAlignment="1">
      <alignment vertical="center"/>
    </xf>
    <xf numFmtId="0" fontId="11" fillId="14" borderId="3" xfId="0" applyFont="1" applyFill="1" applyBorder="1" applyAlignment="1">
      <alignment vertical="center"/>
    </xf>
    <xf numFmtId="0" fontId="7" fillId="14" borderId="4" xfId="0" applyFont="1" applyFill="1" applyBorder="1">
      <alignment vertical="center"/>
    </xf>
    <xf numFmtId="0" fontId="6" fillId="14" borderId="5" xfId="0" applyFont="1" applyFill="1" applyBorder="1">
      <alignment vertical="center"/>
    </xf>
    <xf numFmtId="0" fontId="6" fillId="14" borderId="4" xfId="0" applyFont="1" applyFill="1" applyBorder="1">
      <alignment vertical="center"/>
    </xf>
    <xf numFmtId="0" fontId="6" fillId="14" borderId="8" xfId="0" applyFont="1" applyFill="1" applyBorder="1">
      <alignment vertical="center"/>
    </xf>
    <xf numFmtId="0" fontId="6" fillId="14" borderId="6" xfId="0" applyFont="1" applyFill="1" applyBorder="1">
      <alignment vertical="center"/>
    </xf>
    <xf numFmtId="0" fontId="6" fillId="14" borderId="7" xfId="0" applyFont="1" applyFill="1" applyBorder="1">
      <alignment vertical="center"/>
    </xf>
    <xf numFmtId="0" fontId="6" fillId="6" borderId="130" xfId="0" applyFont="1" applyFill="1" applyBorder="1" applyAlignment="1" applyProtection="1">
      <alignment horizontal="center" vertical="center"/>
      <protection hidden="1"/>
    </xf>
    <xf numFmtId="0" fontId="4" fillId="6" borderId="28" xfId="0" applyFont="1" applyFill="1" applyBorder="1" applyAlignment="1" applyProtection="1">
      <alignment horizontal="center" shrinkToFit="1"/>
      <protection hidden="1"/>
    </xf>
    <xf numFmtId="0" fontId="7" fillId="6" borderId="77" xfId="0" applyFont="1" applyFill="1" applyBorder="1" applyAlignment="1" applyProtection="1">
      <alignment horizontal="center" vertical="center"/>
      <protection hidden="1"/>
    </xf>
    <xf numFmtId="0" fontId="14" fillId="2" borderId="2" xfId="0" applyFont="1" applyFill="1" applyBorder="1">
      <alignment vertical="center"/>
    </xf>
    <xf numFmtId="0" fontId="14" fillId="2" borderId="3" xfId="0" applyFont="1" applyFill="1" applyBorder="1">
      <alignment vertical="center"/>
    </xf>
    <xf numFmtId="0" fontId="7" fillId="0" borderId="53" xfId="0" applyFont="1" applyBorder="1" applyAlignment="1">
      <alignment horizontal="center" vertical="center"/>
    </xf>
    <xf numFmtId="0" fontId="14" fillId="3" borderId="6" xfId="0" applyFont="1" applyFill="1" applyBorder="1">
      <alignment vertical="center"/>
    </xf>
    <xf numFmtId="0" fontId="12" fillId="2" borderId="0" xfId="0" applyFont="1" applyFill="1" applyBorder="1">
      <alignment vertical="center"/>
    </xf>
    <xf numFmtId="0" fontId="14" fillId="2" borderId="0" xfId="0" applyFont="1" applyFill="1" applyBorder="1">
      <alignment vertical="center"/>
    </xf>
    <xf numFmtId="0" fontId="14" fillId="2" borderId="5" xfId="0" applyFont="1" applyFill="1" applyBorder="1">
      <alignment vertical="center"/>
    </xf>
    <xf numFmtId="0" fontId="14" fillId="3" borderId="11" xfId="0" applyFont="1" applyFill="1" applyBorder="1" applyAlignment="1">
      <alignment horizontal="center" vertical="center" shrinkToFit="1"/>
    </xf>
    <xf numFmtId="0" fontId="15" fillId="2" borderId="0" xfId="0" applyFont="1" applyFill="1" applyBorder="1" applyAlignment="1">
      <alignment vertical="center"/>
    </xf>
    <xf numFmtId="0" fontId="16" fillId="2" borderId="0" xfId="0" applyFont="1" applyFill="1" applyBorder="1" applyAlignment="1">
      <alignment vertical="center"/>
    </xf>
    <xf numFmtId="0" fontId="12" fillId="3" borderId="8" xfId="0" applyFont="1" applyFill="1" applyBorder="1" applyAlignment="1">
      <alignment horizontal="center" vertical="center" shrinkToFit="1"/>
    </xf>
    <xf numFmtId="0" fontId="14" fillId="2" borderId="6" xfId="0" applyFont="1" applyFill="1" applyBorder="1">
      <alignment vertical="center"/>
    </xf>
    <xf numFmtId="0" fontId="14" fillId="2" borderId="7" xfId="0" applyFont="1" applyFill="1" applyBorder="1">
      <alignment vertical="center"/>
    </xf>
    <xf numFmtId="177" fontId="14" fillId="2" borderId="0" xfId="0" applyNumberFormat="1" applyFont="1" applyFill="1" applyBorder="1">
      <alignment vertical="center"/>
    </xf>
    <xf numFmtId="0" fontId="14" fillId="3" borderId="6" xfId="0" applyFont="1" applyFill="1" applyBorder="1" applyAlignment="1">
      <alignment horizontal="center" vertical="center" shrinkToFit="1"/>
    </xf>
    <xf numFmtId="178" fontId="14" fillId="2" borderId="0"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0" fontId="14" fillId="3" borderId="0" xfId="0" applyFont="1" applyFill="1" applyBorder="1">
      <alignment vertical="center"/>
    </xf>
    <xf numFmtId="0" fontId="12" fillId="2" borderId="2"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Border="1" applyAlignment="1">
      <alignment horizontal="center" vertical="center"/>
    </xf>
    <xf numFmtId="177" fontId="14" fillId="3" borderId="2" xfId="0" applyNumberFormat="1" applyFont="1" applyFill="1" applyBorder="1">
      <alignment vertical="center"/>
    </xf>
    <xf numFmtId="0" fontId="16" fillId="2" borderId="6" xfId="0" applyFont="1" applyFill="1" applyBorder="1" applyAlignment="1">
      <alignment vertical="center"/>
    </xf>
    <xf numFmtId="0" fontId="14" fillId="2" borderId="1" xfId="0" applyFont="1" applyFill="1" applyBorder="1">
      <alignment vertical="center"/>
    </xf>
    <xf numFmtId="0" fontId="12" fillId="0" borderId="0" xfId="0" applyFont="1" applyFill="1" applyBorder="1" applyAlignment="1">
      <alignment horizontal="center" vertical="center"/>
    </xf>
    <xf numFmtId="0" fontId="12" fillId="3" borderId="1" xfId="0" applyFont="1" applyFill="1" applyBorder="1">
      <alignment vertical="center"/>
    </xf>
    <xf numFmtId="0" fontId="14" fillId="3" borderId="2" xfId="0" applyFont="1" applyFill="1" applyBorder="1">
      <alignment vertical="center"/>
    </xf>
    <xf numFmtId="0" fontId="14" fillId="3" borderId="7" xfId="0" applyFont="1" applyFill="1" applyBorder="1">
      <alignment vertical="center"/>
    </xf>
    <xf numFmtId="0" fontId="14" fillId="3" borderId="7" xfId="0" applyFont="1" applyFill="1" applyBorder="1" applyAlignment="1">
      <alignment horizontal="center" vertical="center" shrinkToFit="1"/>
    </xf>
    <xf numFmtId="0" fontId="14" fillId="3" borderId="3" xfId="0" applyFont="1" applyFill="1" applyBorder="1">
      <alignment vertical="center"/>
    </xf>
    <xf numFmtId="0" fontId="14" fillId="2" borderId="4" xfId="0" applyFont="1" applyFill="1" applyBorder="1" applyAlignment="1">
      <alignment horizontal="center" vertical="center"/>
    </xf>
    <xf numFmtId="0" fontId="14" fillId="2" borderId="8" xfId="0" applyFont="1" applyFill="1" applyBorder="1" applyAlignment="1">
      <alignment vertical="center"/>
    </xf>
    <xf numFmtId="0" fontId="14" fillId="2" borderId="4" xfId="0" applyFont="1" applyFill="1" applyBorder="1" applyAlignment="1">
      <alignment vertical="center"/>
    </xf>
    <xf numFmtId="178" fontId="14" fillId="2" borderId="0" xfId="0" applyNumberFormat="1" applyFont="1" applyFill="1" applyBorder="1">
      <alignment vertical="center"/>
    </xf>
    <xf numFmtId="0" fontId="14" fillId="2" borderId="0" xfId="0" applyFont="1" applyFill="1" applyBorder="1" applyAlignment="1">
      <alignment horizontal="right" vertical="center"/>
    </xf>
    <xf numFmtId="179" fontId="6" fillId="0" borderId="121" xfId="0" applyNumberFormat="1" applyFont="1" applyFill="1" applyBorder="1" applyAlignment="1">
      <alignment horizontal="center" vertical="center"/>
    </xf>
    <xf numFmtId="0" fontId="4" fillId="0" borderId="53"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14" fillId="2" borderId="9" xfId="0" applyFont="1" applyFill="1" applyBorder="1">
      <alignment vertical="center"/>
    </xf>
    <xf numFmtId="0" fontId="12" fillId="2" borderId="4" xfId="0" applyFont="1" applyFill="1" applyBorder="1">
      <alignment vertical="center"/>
    </xf>
    <xf numFmtId="0" fontId="11" fillId="0" borderId="19" xfId="0" applyFont="1" applyBorder="1" applyAlignment="1" applyProtection="1">
      <alignment horizontal="center" vertical="center"/>
    </xf>
    <xf numFmtId="0" fontId="11" fillId="0" borderId="0" xfId="0" applyFont="1" applyAlignment="1" applyProtection="1">
      <alignment horizontal="center" vertical="center"/>
    </xf>
    <xf numFmtId="0" fontId="11" fillId="0" borderId="0" xfId="0" applyFont="1" applyBorder="1" applyAlignment="1" applyProtection="1">
      <alignment horizontal="center" vertical="center"/>
    </xf>
    <xf numFmtId="0" fontId="11" fillId="0" borderId="30" xfId="0" applyFont="1" applyBorder="1" applyAlignment="1" applyProtection="1">
      <alignment horizontal="center" vertical="center"/>
    </xf>
    <xf numFmtId="0" fontId="46" fillId="0" borderId="4" xfId="0" applyFont="1" applyFill="1" applyBorder="1" applyAlignment="1" applyProtection="1">
      <alignment vertical="center"/>
      <protection locked="0"/>
    </xf>
    <xf numFmtId="0" fontId="6" fillId="0" borderId="0" xfId="0" applyFont="1" applyFill="1" applyBorder="1" applyProtection="1">
      <alignment vertical="center"/>
      <protection locked="0"/>
    </xf>
    <xf numFmtId="0" fontId="6" fillId="0" borderId="5" xfId="0" applyFont="1" applyFill="1" applyBorder="1" applyProtection="1">
      <alignment vertical="center"/>
      <protection locked="0"/>
    </xf>
    <xf numFmtId="0" fontId="47" fillId="0" borderId="4" xfId="0" applyFont="1" applyFill="1" applyBorder="1" applyAlignment="1" applyProtection="1">
      <alignment vertical="center"/>
      <protection locked="0"/>
    </xf>
    <xf numFmtId="0" fontId="3" fillId="0" borderId="0" xfId="0" applyFont="1" applyFill="1" applyBorder="1" applyProtection="1">
      <alignment vertical="center"/>
      <protection locked="0"/>
    </xf>
    <xf numFmtId="0" fontId="3" fillId="0" borderId="5" xfId="0" applyFont="1" applyFill="1" applyBorder="1" applyProtection="1">
      <alignment vertical="center"/>
      <protection locked="0"/>
    </xf>
    <xf numFmtId="0" fontId="0" fillId="0" borderId="0" xfId="0" applyFill="1" applyBorder="1" applyProtection="1">
      <alignment vertical="center"/>
      <protection locked="0"/>
    </xf>
    <xf numFmtId="0" fontId="7" fillId="0" borderId="5" xfId="0" applyFont="1" applyFill="1" applyBorder="1" applyAlignment="1" applyProtection="1">
      <alignment horizontal="center"/>
      <protection locked="0"/>
    </xf>
    <xf numFmtId="176" fontId="6" fillId="0" borderId="5" xfId="0" applyNumberFormat="1" applyFont="1" applyFill="1" applyBorder="1" applyAlignment="1" applyProtection="1">
      <alignment horizontal="center" vertical="center"/>
      <protection locked="0"/>
    </xf>
    <xf numFmtId="184" fontId="6" fillId="0" borderId="0" xfId="0" applyNumberFormat="1" applyFont="1" applyFill="1" applyBorder="1" applyAlignment="1" applyProtection="1">
      <alignment horizontal="center" vertical="center"/>
      <protection locked="0"/>
    </xf>
    <xf numFmtId="179" fontId="6" fillId="0" borderId="4" xfId="0" applyNumberFormat="1" applyFont="1" applyFill="1" applyBorder="1" applyAlignment="1" applyProtection="1">
      <alignment horizontal="center" vertical="center"/>
      <protection locked="0"/>
    </xf>
    <xf numFmtId="0" fontId="9" fillId="0" borderId="0" xfId="0" applyFont="1" applyFill="1" applyBorder="1" applyProtection="1">
      <alignment vertical="center"/>
      <protection locked="0"/>
    </xf>
    <xf numFmtId="0" fontId="9" fillId="0" borderId="5" xfId="0" applyFont="1" applyFill="1" applyBorder="1" applyProtection="1">
      <alignment vertical="center"/>
      <protection locked="0"/>
    </xf>
    <xf numFmtId="0" fontId="7" fillId="0" borderId="4"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52" fillId="0" borderId="4" xfId="0" applyFont="1" applyFill="1" applyBorder="1" applyAlignment="1" applyProtection="1">
      <alignment horizontal="center" vertical="center" wrapText="1"/>
      <protection locked="0"/>
    </xf>
    <xf numFmtId="0" fontId="51" fillId="0" borderId="4" xfId="0" applyFont="1" applyFill="1" applyBorder="1" applyAlignment="1" applyProtection="1">
      <alignment horizontal="left" vertical="center"/>
      <protection locked="0"/>
    </xf>
    <xf numFmtId="0" fontId="7" fillId="0" borderId="4" xfId="0" applyFont="1" applyFill="1" applyBorder="1" applyAlignment="1" applyProtection="1">
      <alignment horizontal="center"/>
      <protection locked="0"/>
    </xf>
    <xf numFmtId="0" fontId="6" fillId="0" borderId="4" xfId="0" applyFont="1" applyFill="1" applyBorder="1" applyProtection="1">
      <alignment vertical="center"/>
      <protection locked="0"/>
    </xf>
    <xf numFmtId="0" fontId="6" fillId="0" borderId="4" xfId="0" applyFont="1" applyFill="1" applyBorder="1" applyAlignment="1" applyProtection="1">
      <alignment horizontal="center"/>
      <protection locked="0"/>
    </xf>
    <xf numFmtId="0" fontId="5" fillId="0" borderId="1" xfId="0" applyFont="1" applyFill="1" applyBorder="1" applyProtection="1">
      <alignment vertical="center"/>
      <protection locked="0"/>
    </xf>
    <xf numFmtId="0" fontId="5" fillId="0" borderId="2" xfId="0" applyFont="1" applyFill="1" applyBorder="1" applyProtection="1">
      <alignment vertical="center"/>
      <protection locked="0"/>
    </xf>
    <xf numFmtId="0" fontId="35" fillId="0" borderId="8" xfId="0" applyFont="1" applyFill="1" applyBorder="1" applyAlignment="1" applyProtection="1">
      <alignment horizontal="center" vertical="center" shrinkToFit="1"/>
      <protection locked="0"/>
    </xf>
    <xf numFmtId="0" fontId="9" fillId="0" borderId="6" xfId="0" applyFont="1" applyFill="1" applyBorder="1" applyProtection="1">
      <alignment vertical="center"/>
      <protection locked="0"/>
    </xf>
    <xf numFmtId="0" fontId="34" fillId="6" borderId="0" xfId="0" applyFont="1" applyFill="1" applyBorder="1" applyAlignment="1" applyProtection="1">
      <protection locked="0"/>
    </xf>
    <xf numFmtId="0" fontId="4" fillId="12" borderId="0" xfId="0" applyFont="1" applyFill="1">
      <alignment vertical="center"/>
    </xf>
    <xf numFmtId="0" fontId="9" fillId="12" borderId="0" xfId="0" applyFont="1" applyFill="1">
      <alignment vertical="center"/>
    </xf>
    <xf numFmtId="0" fontId="34" fillId="12" borderId="0" xfId="0" applyFont="1" applyFill="1" applyBorder="1" applyAlignment="1" applyProtection="1">
      <protection locked="0"/>
    </xf>
    <xf numFmtId="0" fontId="14" fillId="2" borderId="0" xfId="0" applyFont="1" applyFill="1" applyBorder="1">
      <alignment vertical="center"/>
    </xf>
    <xf numFmtId="0" fontId="14" fillId="2" borderId="0" xfId="0" applyFont="1" applyFill="1" applyBorder="1" applyAlignment="1">
      <alignment horizontal="center" vertical="center"/>
    </xf>
    <xf numFmtId="0" fontId="16" fillId="2" borderId="0" xfId="0" applyFont="1" applyFill="1" applyBorder="1" applyAlignment="1">
      <alignment vertical="center"/>
    </xf>
    <xf numFmtId="0" fontId="16" fillId="2" borderId="6" xfId="0" applyFont="1" applyFill="1" applyBorder="1" applyAlignment="1">
      <alignment vertical="center"/>
    </xf>
    <xf numFmtId="0" fontId="14" fillId="2" borderId="5" xfId="0" applyFont="1" applyFill="1" applyBorder="1">
      <alignment vertical="center"/>
    </xf>
    <xf numFmtId="0" fontId="12" fillId="2" borderId="0" xfId="0" applyFont="1" applyFill="1" applyBorder="1">
      <alignment vertical="center"/>
    </xf>
    <xf numFmtId="0" fontId="14" fillId="2" borderId="1" xfId="0" applyFont="1" applyFill="1" applyBorder="1">
      <alignment vertical="center"/>
    </xf>
    <xf numFmtId="0" fontId="14" fillId="2" borderId="2" xfId="0" applyFont="1" applyFill="1" applyBorder="1">
      <alignment vertical="center"/>
    </xf>
    <xf numFmtId="0" fontId="14" fillId="2" borderId="3" xfId="0" applyFont="1" applyFill="1" applyBorder="1">
      <alignment vertical="center"/>
    </xf>
    <xf numFmtId="0" fontId="7" fillId="6" borderId="19" xfId="0" applyFont="1" applyFill="1" applyBorder="1" applyAlignment="1" applyProtection="1">
      <alignment vertical="center"/>
      <protection hidden="1"/>
    </xf>
    <xf numFmtId="0" fontId="7" fillId="6" borderId="0" xfId="0" applyFont="1" applyFill="1" applyBorder="1" applyAlignment="1" applyProtection="1">
      <alignment vertical="center"/>
      <protection hidden="1"/>
    </xf>
    <xf numFmtId="0" fontId="7" fillId="16" borderId="0" xfId="0" applyFont="1" applyFill="1">
      <alignment vertical="center"/>
    </xf>
    <xf numFmtId="0" fontId="14" fillId="16" borderId="0" xfId="0" applyFont="1" applyFill="1">
      <alignment vertical="center"/>
    </xf>
    <xf numFmtId="0" fontId="6" fillId="16" borderId="0" xfId="0" applyFont="1" applyFill="1">
      <alignment vertical="center"/>
    </xf>
    <xf numFmtId="178" fontId="14" fillId="0" borderId="0" xfId="0" applyNumberFormat="1" applyFont="1">
      <alignment vertical="center"/>
    </xf>
    <xf numFmtId="0" fontId="6" fillId="16" borderId="0" xfId="0" applyFont="1" applyFill="1" applyAlignment="1">
      <alignment horizontal="right" vertical="center"/>
    </xf>
    <xf numFmtId="0" fontId="14" fillId="16" borderId="0" xfId="0" applyFont="1" applyFill="1" applyBorder="1" applyAlignment="1">
      <alignment horizontal="right" vertical="center"/>
    </xf>
    <xf numFmtId="176" fontId="5" fillId="0" borderId="18" xfId="0" applyNumberFormat="1" applyFont="1" applyBorder="1" applyAlignment="1" applyProtection="1">
      <alignment horizontal="center" vertical="center"/>
      <protection hidden="1"/>
    </xf>
    <xf numFmtId="0" fontId="5" fillId="0" borderId="19" xfId="0" applyFont="1" applyBorder="1" applyAlignment="1" applyProtection="1">
      <alignment horizontal="center" vertical="center"/>
      <protection hidden="1"/>
    </xf>
    <xf numFmtId="0" fontId="5" fillId="0" borderId="30"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176" fontId="6" fillId="0" borderId="18" xfId="0" applyNumberFormat="1" applyFont="1" applyBorder="1" applyAlignment="1" applyProtection="1">
      <alignment vertical="center"/>
      <protection hidden="1"/>
    </xf>
    <xf numFmtId="0" fontId="6" fillId="0" borderId="18" xfId="0" applyFont="1" applyBorder="1" applyAlignment="1" applyProtection="1">
      <alignment vertical="center"/>
      <protection hidden="1"/>
    </xf>
    <xf numFmtId="0" fontId="6" fillId="0" borderId="47" xfId="0" applyFont="1" applyFill="1" applyBorder="1" applyAlignment="1" applyProtection="1">
      <alignment horizontal="center" vertical="center"/>
      <protection hidden="1"/>
    </xf>
    <xf numFmtId="0" fontId="6" fillId="0" borderId="47" xfId="0" applyFont="1" applyBorder="1" applyAlignment="1" applyProtection="1">
      <alignment horizontal="center" vertical="center"/>
      <protection hidden="1"/>
    </xf>
    <xf numFmtId="0" fontId="6" fillId="0" borderId="39" xfId="0" applyFont="1" applyBorder="1" applyAlignment="1" applyProtection="1">
      <alignment vertical="center"/>
      <protection hidden="1"/>
    </xf>
    <xf numFmtId="0" fontId="6" fillId="0" borderId="48" xfId="0" applyFont="1" applyFill="1" applyBorder="1" applyAlignment="1" applyProtection="1">
      <alignment horizontal="center" vertical="center"/>
      <protection hidden="1"/>
    </xf>
    <xf numFmtId="179" fontId="6" fillId="0" borderId="46" xfId="0" applyNumberFormat="1" applyFont="1" applyBorder="1" applyAlignment="1" applyProtection="1">
      <alignment horizontal="center" vertical="center"/>
      <protection hidden="1"/>
    </xf>
    <xf numFmtId="0" fontId="7" fillId="0" borderId="18" xfId="0"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11" fillId="12" borderId="83" xfId="0" applyFont="1" applyFill="1" applyBorder="1" applyAlignment="1">
      <alignment vertical="center"/>
    </xf>
    <xf numFmtId="0" fontId="6" fillId="12" borderId="39" xfId="0" applyFont="1" applyFill="1" applyBorder="1" applyAlignment="1" applyProtection="1">
      <alignment vertical="center"/>
      <protection hidden="1"/>
    </xf>
    <xf numFmtId="0" fontId="7" fillId="6" borderId="19" xfId="0" applyFont="1" applyFill="1" applyBorder="1" applyAlignment="1" applyProtection="1">
      <alignment horizontal="left" vertical="center"/>
      <protection hidden="1"/>
    </xf>
    <xf numFmtId="0" fontId="7" fillId="6" borderId="0" xfId="0" applyFont="1" applyFill="1" applyBorder="1" applyAlignment="1" applyProtection="1">
      <alignment horizontal="left" vertical="center"/>
      <protection hidden="1"/>
    </xf>
    <xf numFmtId="0" fontId="7" fillId="6" borderId="5" xfId="0" applyFont="1" applyFill="1" applyBorder="1" applyAlignment="1" applyProtection="1">
      <alignment horizontal="left" vertical="center"/>
      <protection hidden="1"/>
    </xf>
    <xf numFmtId="0" fontId="7" fillId="6" borderId="9" xfId="0" applyFont="1" applyFill="1" applyBorder="1" applyAlignment="1" applyProtection="1">
      <alignment horizontal="center" vertical="center"/>
      <protection hidden="1"/>
    </xf>
    <xf numFmtId="0" fontId="6" fillId="6" borderId="11" xfId="0" applyFont="1" applyFill="1" applyBorder="1" applyAlignment="1" applyProtection="1">
      <alignment vertical="center"/>
      <protection hidden="1"/>
    </xf>
    <xf numFmtId="0" fontId="8" fillId="6" borderId="11" xfId="0" applyFont="1" applyFill="1" applyBorder="1" applyAlignment="1" applyProtection="1">
      <protection hidden="1"/>
    </xf>
    <xf numFmtId="11" fontId="6" fillId="6" borderId="11" xfId="0" applyNumberFormat="1" applyFont="1" applyFill="1" applyBorder="1" applyAlignment="1" applyProtection="1">
      <alignment vertical="center"/>
      <protection hidden="1"/>
    </xf>
    <xf numFmtId="0" fontId="8" fillId="6" borderId="12" xfId="0" applyFont="1" applyFill="1" applyBorder="1" applyAlignment="1" applyProtection="1">
      <protection hidden="1"/>
    </xf>
    <xf numFmtId="0" fontId="6" fillId="6" borderId="9" xfId="0" applyFont="1" applyFill="1" applyBorder="1" applyAlignment="1" applyProtection="1">
      <alignment vertical="center"/>
      <protection hidden="1"/>
    </xf>
    <xf numFmtId="0" fontId="8" fillId="6" borderId="9" xfId="0" applyFont="1" applyFill="1" applyBorder="1" applyAlignment="1" applyProtection="1">
      <protection hidden="1"/>
    </xf>
    <xf numFmtId="11" fontId="6" fillId="6" borderId="9" xfId="0" applyNumberFormat="1" applyFont="1" applyFill="1" applyBorder="1" applyAlignment="1" applyProtection="1">
      <alignment vertical="center"/>
      <protection hidden="1"/>
    </xf>
    <xf numFmtId="0" fontId="8" fillId="6" borderId="29" xfId="0" applyFont="1" applyFill="1" applyBorder="1" applyAlignment="1" applyProtection="1">
      <protection hidden="1"/>
    </xf>
    <xf numFmtId="0" fontId="63" fillId="6" borderId="19" xfId="0" applyFont="1" applyFill="1" applyBorder="1" applyAlignment="1" applyProtection="1">
      <alignment horizontal="left" vertical="center"/>
      <protection hidden="1"/>
    </xf>
    <xf numFmtId="0" fontId="63" fillId="0" borderId="0" xfId="0" applyFont="1" applyBorder="1" applyAlignment="1">
      <alignment horizontal="left" vertical="center"/>
    </xf>
    <xf numFmtId="0" fontId="63" fillId="6" borderId="0" xfId="0" applyFont="1" applyFill="1" applyBorder="1" applyAlignment="1" applyProtection="1">
      <alignment horizontal="left" vertical="center"/>
      <protection hidden="1"/>
    </xf>
    <xf numFmtId="0" fontId="64" fillId="6" borderId="0" xfId="0" applyFont="1" applyFill="1" applyBorder="1" applyAlignment="1" applyProtection="1">
      <alignment horizontal="left"/>
      <protection hidden="1"/>
    </xf>
    <xf numFmtId="11" fontId="63" fillId="6" borderId="0" xfId="0" applyNumberFormat="1" applyFont="1" applyFill="1" applyBorder="1" applyAlignment="1" applyProtection="1">
      <alignment horizontal="left" vertical="center"/>
      <protection hidden="1"/>
    </xf>
    <xf numFmtId="0" fontId="64" fillId="6" borderId="5" xfId="0" applyFont="1" applyFill="1" applyBorder="1" applyAlignment="1" applyProtection="1">
      <alignment horizontal="left"/>
      <protection hidden="1"/>
    </xf>
    <xf numFmtId="0" fontId="7" fillId="6" borderId="30" xfId="0" applyFont="1" applyFill="1" applyBorder="1" applyAlignment="1" applyProtection="1">
      <alignment horizontal="left" vertical="center"/>
      <protection hidden="1"/>
    </xf>
    <xf numFmtId="0" fontId="7" fillId="6" borderId="21" xfId="0" applyFont="1" applyFill="1" applyBorder="1" applyAlignment="1" applyProtection="1">
      <alignment vertical="center"/>
      <protection hidden="1"/>
    </xf>
    <xf numFmtId="0" fontId="7" fillId="6" borderId="60" xfId="0" applyFont="1" applyFill="1" applyBorder="1" applyAlignment="1" applyProtection="1">
      <alignment horizontal="left" vertical="top"/>
      <protection hidden="1"/>
    </xf>
    <xf numFmtId="0" fontId="14" fillId="2" borderId="0" xfId="0" applyFont="1" applyFill="1" applyBorder="1">
      <alignment vertical="center"/>
    </xf>
    <xf numFmtId="0" fontId="14" fillId="2" borderId="5" xfId="0" applyFont="1" applyFill="1" applyBorder="1">
      <alignment vertical="center"/>
    </xf>
    <xf numFmtId="0" fontId="14" fillId="2" borderId="0" xfId="0" applyFont="1" applyFill="1" applyBorder="1" applyAlignment="1">
      <alignment horizontal="center" vertical="center"/>
    </xf>
    <xf numFmtId="0" fontId="7" fillId="0" borderId="83" xfId="0" applyFont="1" applyBorder="1" applyAlignment="1" applyProtection="1">
      <alignment horizontal="center" vertical="center"/>
      <protection hidden="1"/>
    </xf>
    <xf numFmtId="184" fontId="56" fillId="0" borderId="85" xfId="0" applyNumberFormat="1" applyFont="1" applyBorder="1" applyAlignment="1" applyProtection="1">
      <alignment horizontal="center" vertical="center"/>
      <protection hidden="1"/>
    </xf>
    <xf numFmtId="178" fontId="6" fillId="0" borderId="85" xfId="0" applyNumberFormat="1" applyFont="1" applyBorder="1" applyAlignment="1" applyProtection="1">
      <alignment horizontal="center" vertical="center" shrinkToFit="1"/>
      <protection hidden="1"/>
    </xf>
    <xf numFmtId="178" fontId="6" fillId="0" borderId="85" xfId="0" applyNumberFormat="1" applyFont="1" applyFill="1" applyBorder="1" applyAlignment="1" applyProtection="1">
      <alignment horizontal="center" vertical="center" shrinkToFit="1"/>
      <protection hidden="1"/>
    </xf>
    <xf numFmtId="178" fontId="6" fillId="14" borderId="85" xfId="0" applyNumberFormat="1" applyFont="1" applyFill="1" applyBorder="1" applyAlignment="1" applyProtection="1">
      <alignment horizontal="center" vertical="center" shrinkToFit="1"/>
      <protection hidden="1"/>
    </xf>
    <xf numFmtId="178" fontId="6" fillId="0" borderId="97" xfId="0" applyNumberFormat="1" applyFont="1" applyBorder="1" applyAlignment="1" applyProtection="1">
      <alignment horizontal="center" vertical="center" shrinkToFit="1"/>
      <protection hidden="1"/>
    </xf>
    <xf numFmtId="178" fontId="6" fillId="0" borderId="99" xfId="0" applyNumberFormat="1" applyFont="1" applyBorder="1" applyAlignment="1" applyProtection="1">
      <alignment horizontal="center" vertical="center" shrinkToFit="1"/>
      <protection hidden="1"/>
    </xf>
    <xf numFmtId="178" fontId="6" fillId="0" borderId="99" xfId="0" applyNumberFormat="1" applyFont="1" applyFill="1" applyBorder="1" applyAlignment="1" applyProtection="1">
      <alignment horizontal="center" vertical="center" shrinkToFit="1"/>
      <protection hidden="1"/>
    </xf>
    <xf numFmtId="178" fontId="6" fillId="14" borderId="99" xfId="0" applyNumberFormat="1" applyFont="1" applyFill="1" applyBorder="1" applyAlignment="1" applyProtection="1">
      <alignment horizontal="center" vertical="center" shrinkToFit="1"/>
      <protection hidden="1"/>
    </xf>
    <xf numFmtId="178" fontId="6" fillId="0" borderId="100" xfId="0" applyNumberFormat="1" applyFont="1" applyBorder="1" applyAlignment="1" applyProtection="1">
      <alignment horizontal="center" vertical="center" shrinkToFit="1"/>
      <protection hidden="1"/>
    </xf>
    <xf numFmtId="178" fontId="6" fillId="0" borderId="86" xfId="0" applyNumberFormat="1" applyFont="1" applyBorder="1" applyAlignment="1" applyProtection="1">
      <alignment horizontal="center" vertical="center" shrinkToFit="1"/>
      <protection hidden="1"/>
    </xf>
    <xf numFmtId="178" fontId="6" fillId="0" borderId="86" xfId="0" applyNumberFormat="1" applyFont="1" applyFill="1" applyBorder="1" applyAlignment="1" applyProtection="1">
      <alignment horizontal="center" vertical="center" shrinkToFit="1"/>
      <protection hidden="1"/>
    </xf>
    <xf numFmtId="178" fontId="6" fillId="14" borderId="86" xfId="0" applyNumberFormat="1" applyFont="1" applyFill="1" applyBorder="1" applyAlignment="1" applyProtection="1">
      <alignment horizontal="center" vertical="center" shrinkToFit="1"/>
      <protection hidden="1"/>
    </xf>
    <xf numFmtId="178" fontId="6" fillId="0" borderId="98" xfId="0" applyNumberFormat="1" applyFont="1" applyBorder="1" applyAlignment="1" applyProtection="1">
      <alignment horizontal="center" vertical="center" shrinkToFit="1"/>
      <protection hidden="1"/>
    </xf>
    <xf numFmtId="184" fontId="56" fillId="0" borderId="84" xfId="0" applyNumberFormat="1" applyFont="1" applyBorder="1" applyAlignment="1" applyProtection="1">
      <alignment horizontal="center" vertical="center"/>
      <protection hidden="1"/>
    </xf>
    <xf numFmtId="184" fontId="56" fillId="0" borderId="86" xfId="0" applyNumberFormat="1" applyFont="1" applyBorder="1" applyAlignment="1" applyProtection="1">
      <alignment horizontal="center" vertical="center"/>
      <protection hidden="1"/>
    </xf>
    <xf numFmtId="0" fontId="7" fillId="0" borderId="119" xfId="0" applyFont="1" applyBorder="1" applyAlignment="1" applyProtection="1">
      <alignment vertical="center"/>
      <protection hidden="1"/>
    </xf>
    <xf numFmtId="0" fontId="6" fillId="0" borderId="120" xfId="0" applyFont="1" applyBorder="1" applyAlignment="1" applyProtection="1">
      <alignment vertical="center"/>
      <protection hidden="1"/>
    </xf>
    <xf numFmtId="0" fontId="53" fillId="0" borderId="28" xfId="0" applyFont="1" applyBorder="1" applyAlignment="1" applyProtection="1">
      <alignment horizontal="center" vertical="center"/>
      <protection hidden="1"/>
    </xf>
    <xf numFmtId="0" fontId="53" fillId="0" borderId="28" xfId="0" applyFont="1" applyFill="1" applyBorder="1" applyAlignment="1" applyProtection="1">
      <alignment horizontal="center" vertical="center"/>
      <protection hidden="1"/>
    </xf>
    <xf numFmtId="0" fontId="0" fillId="0" borderId="5" xfId="0" applyFont="1" applyFill="1" applyBorder="1" applyAlignment="1" applyProtection="1">
      <alignment horizontal="right" vertical="center" indent="1"/>
      <protection hidden="1"/>
    </xf>
    <xf numFmtId="184" fontId="56" fillId="14" borderId="28" xfId="0" applyNumberFormat="1" applyFont="1" applyFill="1" applyBorder="1" applyAlignment="1" applyProtection="1">
      <alignment horizontal="center" vertical="center"/>
      <protection locked="0"/>
    </xf>
    <xf numFmtId="0" fontId="7" fillId="14" borderId="28" xfId="0" applyFont="1" applyFill="1" applyBorder="1" applyAlignment="1" applyProtection="1">
      <alignment horizontal="center" vertical="center"/>
      <protection hidden="1"/>
    </xf>
    <xf numFmtId="0" fontId="6" fillId="0" borderId="0" xfId="0" applyFont="1" applyProtection="1">
      <alignment vertical="center"/>
      <protection locked="0"/>
    </xf>
    <xf numFmtId="0" fontId="6" fillId="0" borderId="57" xfId="0" applyFont="1" applyBorder="1" applyProtection="1">
      <alignment vertical="center"/>
    </xf>
    <xf numFmtId="0" fontId="6" fillId="0" borderId="67" xfId="0" applyFont="1" applyBorder="1" applyProtection="1">
      <alignment vertical="center"/>
    </xf>
    <xf numFmtId="0" fontId="67" fillId="16" borderId="0" xfId="0" applyFont="1" applyFill="1" applyBorder="1" applyAlignment="1" applyProtection="1">
      <alignment vertical="center"/>
      <protection locked="0" hidden="1"/>
    </xf>
    <xf numFmtId="0" fontId="7" fillId="6" borderId="28" xfId="0" applyFont="1" applyFill="1" applyBorder="1" applyAlignment="1" applyProtection="1">
      <alignment horizontal="center"/>
      <protection hidden="1"/>
    </xf>
    <xf numFmtId="0" fontId="7" fillId="6" borderId="38" xfId="0" applyFont="1" applyFill="1" applyBorder="1" applyAlignment="1" applyProtection="1">
      <alignment horizontal="center"/>
      <protection hidden="1"/>
    </xf>
    <xf numFmtId="0" fontId="7" fillId="6" borderId="77" xfId="0" applyFont="1" applyFill="1" applyBorder="1" applyAlignment="1" applyProtection="1">
      <alignment horizontal="center" vertical="center"/>
      <protection hidden="1"/>
    </xf>
    <xf numFmtId="0" fontId="13" fillId="6" borderId="0" xfId="0" applyFont="1" applyFill="1" applyBorder="1" applyAlignment="1" applyProtection="1">
      <alignment horizontal="left" vertical="center"/>
      <protection hidden="1"/>
    </xf>
    <xf numFmtId="0" fontId="13" fillId="6" borderId="5" xfId="0" applyFont="1" applyFill="1" applyBorder="1" applyAlignment="1" applyProtection="1">
      <alignment horizontal="left" vertical="center"/>
      <protection hidden="1"/>
    </xf>
    <xf numFmtId="185" fontId="34" fillId="0" borderId="85" xfId="0" applyNumberFormat="1" applyFont="1" applyFill="1" applyBorder="1" applyAlignment="1" applyProtection="1">
      <alignment horizontal="center" vertical="center"/>
      <protection locked="0"/>
    </xf>
    <xf numFmtId="0" fontId="31" fillId="10" borderId="4" xfId="0" applyFont="1" applyFill="1" applyBorder="1" applyAlignment="1" applyProtection="1">
      <alignment horizontal="left" vertical="center"/>
      <protection hidden="1"/>
    </xf>
    <xf numFmtId="0" fontId="31" fillId="10" borderId="0" xfId="0" applyFont="1" applyFill="1" applyBorder="1" applyAlignment="1" applyProtection="1">
      <alignment horizontal="left" vertical="center"/>
      <protection hidden="1"/>
    </xf>
    <xf numFmtId="0" fontId="31" fillId="10" borderId="5" xfId="0" applyFont="1" applyFill="1" applyBorder="1" applyAlignment="1" applyProtection="1">
      <alignment horizontal="left" vertical="center"/>
      <protection hidden="1"/>
    </xf>
    <xf numFmtId="0" fontId="13" fillId="6" borderId="0" xfId="0" applyFont="1" applyFill="1" applyBorder="1" applyAlignment="1" applyProtection="1">
      <alignment vertical="center"/>
      <protection hidden="1"/>
    </xf>
    <xf numFmtId="0" fontId="11" fillId="6" borderId="0" xfId="0" applyFont="1" applyFill="1" applyBorder="1" applyAlignment="1" applyProtection="1">
      <alignment vertical="center"/>
      <protection hidden="1"/>
    </xf>
    <xf numFmtId="0" fontId="11" fillId="6" borderId="5" xfId="0" applyFont="1" applyFill="1" applyBorder="1" applyAlignment="1" applyProtection="1">
      <alignment vertical="center"/>
      <protection hidden="1"/>
    </xf>
    <xf numFmtId="0" fontId="4" fillId="6" borderId="28" xfId="0" applyFont="1" applyFill="1" applyBorder="1" applyAlignment="1" applyProtection="1">
      <alignment horizontal="center" shrinkToFit="1"/>
      <protection hidden="1"/>
    </xf>
    <xf numFmtId="185" fontId="34" fillId="0" borderId="86" xfId="0" applyNumberFormat="1" applyFont="1" applyFill="1" applyBorder="1" applyAlignment="1" applyProtection="1">
      <alignment horizontal="center" vertical="center"/>
      <protection locked="0"/>
    </xf>
    <xf numFmtId="185" fontId="34" fillId="0" borderId="84" xfId="0" applyNumberFormat="1" applyFont="1" applyFill="1" applyBorder="1" applyAlignment="1" applyProtection="1">
      <alignment horizontal="center" vertical="center"/>
      <protection locked="0"/>
    </xf>
    <xf numFmtId="0" fontId="39" fillId="6" borderId="16" xfId="0" applyFont="1" applyFill="1" applyBorder="1" applyAlignment="1" applyProtection="1">
      <alignment horizontal="center" vertical="center" shrinkToFit="1"/>
      <protection hidden="1"/>
    </xf>
    <xf numFmtId="0" fontId="39" fillId="6" borderId="83" xfId="0" applyFont="1" applyFill="1" applyBorder="1" applyAlignment="1" applyProtection="1">
      <alignment horizontal="center" vertical="center" shrinkToFit="1"/>
      <protection hidden="1"/>
    </xf>
    <xf numFmtId="0" fontId="39" fillId="6" borderId="39" xfId="0" applyFont="1" applyFill="1" applyBorder="1" applyAlignment="1" applyProtection="1">
      <alignment horizontal="center" vertical="center" shrinkToFit="1"/>
      <protection hidden="1"/>
    </xf>
    <xf numFmtId="0" fontId="13" fillId="0" borderId="0" xfId="0"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5" xfId="0" applyFont="1" applyBorder="1" applyAlignment="1" applyProtection="1">
      <alignment horizontal="left" vertical="center"/>
    </xf>
    <xf numFmtId="0" fontId="36" fillId="6" borderId="28" xfId="0" applyFont="1" applyFill="1" applyBorder="1" applyAlignment="1" applyProtection="1">
      <alignment horizontal="center" vertical="center"/>
      <protection hidden="1"/>
    </xf>
    <xf numFmtId="0" fontId="11" fillId="6" borderId="0" xfId="0" applyFont="1" applyFill="1" applyBorder="1" applyAlignment="1" applyProtection="1">
      <alignment horizontal="left" vertical="center"/>
      <protection hidden="1"/>
    </xf>
    <xf numFmtId="0" fontId="11" fillId="6" borderId="5" xfId="0" applyFont="1" applyFill="1" applyBorder="1" applyAlignment="1" applyProtection="1">
      <alignment horizontal="left" vertical="center"/>
      <protection hidden="1"/>
    </xf>
    <xf numFmtId="0" fontId="31" fillId="10" borderId="53" xfId="0" applyFont="1" applyFill="1" applyBorder="1" applyAlignment="1" applyProtection="1">
      <alignment horizontal="left" vertical="center"/>
      <protection hidden="1"/>
    </xf>
    <xf numFmtId="0" fontId="31" fillId="10" borderId="36" xfId="0" applyFont="1" applyFill="1" applyBorder="1" applyAlignment="1" applyProtection="1">
      <alignment horizontal="left" vertical="center"/>
      <protection hidden="1"/>
    </xf>
    <xf numFmtId="0" fontId="31" fillId="10" borderId="37" xfId="0" applyFont="1" applyFill="1" applyBorder="1" applyAlignment="1" applyProtection="1">
      <alignment horizontal="left" vertical="center"/>
      <protection hidden="1"/>
    </xf>
    <xf numFmtId="0" fontId="31" fillId="10" borderId="1" xfId="0" applyFont="1" applyFill="1" applyBorder="1" applyAlignment="1" applyProtection="1">
      <alignment horizontal="left" vertical="center"/>
      <protection hidden="1"/>
    </xf>
    <xf numFmtId="0" fontId="31" fillId="10" borderId="2" xfId="0" applyFont="1" applyFill="1" applyBorder="1" applyAlignment="1" applyProtection="1">
      <alignment horizontal="left" vertical="center"/>
      <protection hidden="1"/>
    </xf>
    <xf numFmtId="0" fontId="31" fillId="10" borderId="3" xfId="0" applyFont="1" applyFill="1" applyBorder="1" applyAlignment="1" applyProtection="1">
      <alignment horizontal="left" vertical="center"/>
      <protection hidden="1"/>
    </xf>
    <xf numFmtId="0" fontId="59" fillId="6" borderId="56" xfId="0" applyFont="1" applyFill="1" applyBorder="1" applyAlignment="1" applyProtection="1">
      <alignment horizontal="left" vertical="center"/>
      <protection hidden="1"/>
    </xf>
    <xf numFmtId="0" fontId="59" fillId="6" borderId="57" xfId="0" applyFont="1" applyFill="1" applyBorder="1" applyAlignment="1" applyProtection="1">
      <alignment horizontal="left" vertical="center"/>
      <protection hidden="1"/>
    </xf>
    <xf numFmtId="0" fontId="6" fillId="6" borderId="57" xfId="0" applyFont="1" applyFill="1" applyBorder="1" applyAlignment="1" applyProtection="1">
      <alignment horizontal="right" vertical="center"/>
      <protection hidden="1"/>
    </xf>
    <xf numFmtId="11" fontId="6" fillId="6" borderId="57" xfId="0" applyNumberFormat="1" applyFont="1" applyFill="1" applyBorder="1" applyAlignment="1" applyProtection="1">
      <alignment horizontal="right" vertical="center"/>
      <protection hidden="1"/>
    </xf>
    <xf numFmtId="0" fontId="31" fillId="10" borderId="16" xfId="0" applyFont="1" applyFill="1" applyBorder="1" applyAlignment="1" applyProtection="1">
      <alignment horizontal="left" vertical="center"/>
      <protection hidden="1"/>
    </xf>
    <xf numFmtId="0" fontId="31" fillId="10" borderId="83" xfId="0" applyFont="1" applyFill="1" applyBorder="1" applyAlignment="1" applyProtection="1">
      <alignment horizontal="left" vertical="center"/>
      <protection hidden="1"/>
    </xf>
    <xf numFmtId="0" fontId="31" fillId="10" borderId="17" xfId="0" applyFont="1" applyFill="1" applyBorder="1" applyAlignment="1" applyProtection="1">
      <alignment horizontal="left" vertical="center"/>
      <protection hidden="1"/>
    </xf>
    <xf numFmtId="0" fontId="53" fillId="0" borderId="4" xfId="0" applyFont="1" applyBorder="1" applyAlignment="1" applyProtection="1">
      <alignment horizontal="left" vertical="center"/>
    </xf>
    <xf numFmtId="0" fontId="53" fillId="0" borderId="0" xfId="0" applyFont="1" applyBorder="1" applyAlignment="1" applyProtection="1">
      <alignment horizontal="left" vertical="center"/>
    </xf>
    <xf numFmtId="0" fontId="53" fillId="0" borderId="31" xfId="0" applyFont="1" applyBorder="1" applyAlignment="1" applyProtection="1">
      <alignment horizontal="left" vertical="center"/>
    </xf>
    <xf numFmtId="0" fontId="7" fillId="0" borderId="82" xfId="0" applyFont="1" applyBorder="1" applyAlignment="1" applyProtection="1">
      <alignment horizontal="center" vertical="center"/>
      <protection hidden="1"/>
    </xf>
    <xf numFmtId="0" fontId="6" fillId="0" borderId="83" xfId="0" applyFont="1" applyBorder="1" applyAlignment="1" applyProtection="1">
      <alignment horizontal="center" vertical="center"/>
      <protection hidden="1"/>
    </xf>
    <xf numFmtId="0" fontId="6" fillId="0" borderId="39" xfId="0" applyFont="1" applyBorder="1" applyAlignment="1" applyProtection="1">
      <alignment horizontal="center" vertical="center"/>
      <protection hidden="1"/>
    </xf>
    <xf numFmtId="0" fontId="55" fillId="6" borderId="82" xfId="0" applyFont="1" applyFill="1" applyBorder="1" applyAlignment="1" applyProtection="1">
      <alignment horizontal="center" vertical="center"/>
      <protection hidden="1"/>
    </xf>
    <xf numFmtId="0" fontId="55" fillId="6" borderId="83" xfId="0" applyFont="1" applyFill="1" applyBorder="1" applyAlignment="1" applyProtection="1">
      <alignment horizontal="center" vertical="center"/>
      <protection hidden="1"/>
    </xf>
    <xf numFmtId="0" fontId="55" fillId="6" borderId="39" xfId="0" applyFont="1" applyFill="1" applyBorder="1" applyAlignment="1" applyProtection="1">
      <alignment horizontal="center" vertical="center"/>
      <protection hidden="1"/>
    </xf>
    <xf numFmtId="0" fontId="6" fillId="6" borderId="107" xfId="0" applyFont="1" applyFill="1" applyBorder="1" applyAlignment="1" applyProtection="1">
      <alignment horizontal="center"/>
      <protection hidden="1"/>
    </xf>
    <xf numFmtId="0" fontId="6" fillId="6" borderId="108" xfId="0" applyFont="1" applyFill="1" applyBorder="1" applyAlignment="1" applyProtection="1">
      <alignment horizontal="center"/>
      <protection hidden="1"/>
    </xf>
    <xf numFmtId="0" fontId="6" fillId="6" borderId="109" xfId="0" applyFont="1" applyFill="1" applyBorder="1" applyAlignment="1" applyProtection="1">
      <alignment horizontal="center"/>
      <protection hidden="1"/>
    </xf>
    <xf numFmtId="0" fontId="6" fillId="6" borderId="110" xfId="0" applyFont="1" applyFill="1" applyBorder="1" applyAlignment="1" applyProtection="1">
      <alignment horizontal="center"/>
      <protection hidden="1"/>
    </xf>
    <xf numFmtId="0" fontId="6" fillId="6" borderId="111" xfId="0" applyFont="1" applyFill="1" applyBorder="1" applyAlignment="1" applyProtection="1">
      <alignment horizontal="center"/>
      <protection hidden="1"/>
    </xf>
    <xf numFmtId="0" fontId="6" fillId="6" borderId="112" xfId="0" applyFont="1" applyFill="1" applyBorder="1" applyAlignment="1" applyProtection="1">
      <alignment horizontal="center"/>
      <protection hidden="1"/>
    </xf>
    <xf numFmtId="0" fontId="6" fillId="6" borderId="113" xfId="0" applyFont="1" applyFill="1" applyBorder="1" applyAlignment="1" applyProtection="1">
      <alignment horizontal="center"/>
      <protection hidden="1"/>
    </xf>
    <xf numFmtId="0" fontId="6" fillId="6" borderId="114" xfId="0" applyFont="1" applyFill="1" applyBorder="1" applyAlignment="1" applyProtection="1">
      <alignment horizontal="center"/>
      <protection hidden="1"/>
    </xf>
    <xf numFmtId="0" fontId="6" fillId="6" borderId="115" xfId="0" applyFont="1" applyFill="1" applyBorder="1" applyAlignment="1" applyProtection="1">
      <alignment horizontal="center"/>
      <protection hidden="1"/>
    </xf>
    <xf numFmtId="0" fontId="7" fillId="6" borderId="82" xfId="0" applyFont="1" applyFill="1" applyBorder="1" applyAlignment="1" applyProtection="1">
      <alignment horizontal="center" vertical="center"/>
      <protection hidden="1"/>
    </xf>
    <xf numFmtId="0" fontId="7" fillId="6" borderId="83" xfId="0" applyFont="1" applyFill="1" applyBorder="1" applyAlignment="1" applyProtection="1">
      <alignment horizontal="center" vertical="center"/>
      <protection hidden="1"/>
    </xf>
    <xf numFmtId="0" fontId="7" fillId="6" borderId="39" xfId="0" applyFont="1" applyFill="1" applyBorder="1" applyAlignment="1" applyProtection="1">
      <alignment horizontal="center" vertical="center"/>
      <protection hidden="1"/>
    </xf>
    <xf numFmtId="0" fontId="7" fillId="0" borderId="16" xfId="0" applyFont="1" applyBorder="1" applyAlignment="1" applyProtection="1">
      <alignment horizontal="center" vertical="center"/>
    </xf>
    <xf numFmtId="0" fontId="7" fillId="0" borderId="83" xfId="0" applyFont="1" applyBorder="1" applyAlignment="1" applyProtection="1">
      <alignment horizontal="center" vertical="center"/>
    </xf>
    <xf numFmtId="0" fontId="7" fillId="0" borderId="39" xfId="0" applyFont="1" applyBorder="1" applyAlignment="1" applyProtection="1">
      <alignment horizontal="center" vertical="center"/>
    </xf>
    <xf numFmtId="179" fontId="58" fillId="0" borderId="85" xfId="0" applyNumberFormat="1" applyFont="1" applyFill="1" applyBorder="1" applyAlignment="1" applyProtection="1">
      <alignment horizontal="center" vertical="center"/>
      <protection locked="0"/>
    </xf>
    <xf numFmtId="179" fontId="58" fillId="0" borderId="86" xfId="0" applyNumberFormat="1" applyFont="1" applyFill="1" applyBorder="1" applyAlignment="1" applyProtection="1">
      <alignment horizontal="center" vertical="center"/>
      <protection locked="0"/>
    </xf>
    <xf numFmtId="0" fontId="7" fillId="6" borderId="28" xfId="0" applyFont="1" applyFill="1" applyBorder="1" applyAlignment="1" applyProtection="1">
      <alignment horizontal="center" vertical="center"/>
      <protection hidden="1"/>
    </xf>
    <xf numFmtId="0" fontId="7" fillId="6" borderId="38" xfId="0" applyFont="1" applyFill="1" applyBorder="1" applyAlignment="1" applyProtection="1">
      <alignment horizontal="center" vertical="center"/>
      <protection hidden="1"/>
    </xf>
    <xf numFmtId="0" fontId="53" fillId="6" borderId="10" xfId="0" applyFont="1" applyFill="1" applyBorder="1" applyAlignment="1" applyProtection="1">
      <alignment horizontal="left"/>
      <protection hidden="1"/>
    </xf>
    <xf numFmtId="0" fontId="53" fillId="6" borderId="11" xfId="0" applyFont="1" applyFill="1" applyBorder="1" applyAlignment="1" applyProtection="1">
      <alignment horizontal="left"/>
      <protection hidden="1"/>
    </xf>
    <xf numFmtId="0" fontId="53" fillId="6" borderId="40" xfId="0" applyFont="1" applyFill="1" applyBorder="1" applyAlignment="1" applyProtection="1">
      <alignment horizontal="left"/>
      <protection hidden="1"/>
    </xf>
    <xf numFmtId="0" fontId="7" fillId="6" borderId="77" xfId="0" applyFont="1" applyFill="1" applyBorder="1" applyAlignment="1" applyProtection="1">
      <alignment horizontal="center"/>
      <protection hidden="1"/>
    </xf>
    <xf numFmtId="0" fontId="6" fillId="6" borderId="95" xfId="0" applyFont="1" applyFill="1" applyBorder="1" applyAlignment="1" applyProtection="1">
      <alignment horizontal="center"/>
      <protection hidden="1"/>
    </xf>
    <xf numFmtId="0" fontId="6" fillId="6" borderId="85" xfId="0" applyFont="1" applyFill="1" applyBorder="1" applyAlignment="1" applyProtection="1">
      <alignment horizontal="center"/>
      <protection hidden="1"/>
    </xf>
    <xf numFmtId="0" fontId="53" fillId="0" borderId="38" xfId="0" applyFont="1" applyBorder="1" applyAlignment="1" applyProtection="1">
      <alignment horizontal="center" vertical="center"/>
      <protection hidden="1"/>
    </xf>
    <xf numFmtId="0" fontId="53" fillId="0" borderId="41" xfId="0" applyFont="1" applyBorder="1" applyAlignment="1" applyProtection="1">
      <alignment horizontal="center" vertical="center"/>
      <protection hidden="1"/>
    </xf>
    <xf numFmtId="0" fontId="53" fillId="0" borderId="35" xfId="0" applyFont="1" applyBorder="1" applyAlignment="1" applyProtection="1">
      <alignment horizontal="center" vertical="center"/>
      <protection hidden="1"/>
    </xf>
    <xf numFmtId="0" fontId="53" fillId="0" borderId="28" xfId="0" applyFont="1" applyBorder="1" applyAlignment="1" applyProtection="1">
      <alignment horizontal="center" vertical="center"/>
      <protection hidden="1"/>
    </xf>
    <xf numFmtId="0" fontId="6" fillId="6" borderId="104" xfId="0" applyFont="1" applyFill="1" applyBorder="1" applyAlignment="1" applyProtection="1">
      <alignment horizontal="center" vertical="center"/>
      <protection hidden="1"/>
    </xf>
    <xf numFmtId="0" fontId="6" fillId="6" borderId="90" xfId="0" applyFont="1" applyFill="1" applyBorder="1" applyAlignment="1" applyProtection="1">
      <alignment horizontal="center" vertical="center"/>
      <protection hidden="1"/>
    </xf>
    <xf numFmtId="0" fontId="6" fillId="6" borderId="105" xfId="0" applyFont="1" applyFill="1" applyBorder="1" applyAlignment="1" applyProtection="1">
      <alignment horizontal="center" vertical="center"/>
      <protection hidden="1"/>
    </xf>
    <xf numFmtId="0" fontId="6" fillId="6" borderId="106" xfId="0" applyFont="1" applyFill="1" applyBorder="1" applyAlignment="1" applyProtection="1">
      <alignment horizontal="center" vertical="center"/>
      <protection hidden="1"/>
    </xf>
    <xf numFmtId="177" fontId="34" fillId="0" borderId="88" xfId="0" applyNumberFormat="1" applyFont="1" applyFill="1" applyBorder="1" applyAlignment="1" applyProtection="1">
      <alignment horizontal="right" vertical="center" indent="1"/>
      <protection locked="0"/>
    </xf>
    <xf numFmtId="177" fontId="34" fillId="0" borderId="102" xfId="0" applyNumberFormat="1" applyFont="1" applyFill="1" applyBorder="1" applyAlignment="1" applyProtection="1">
      <alignment horizontal="right" vertical="center" indent="1"/>
      <protection locked="0"/>
    </xf>
    <xf numFmtId="177" fontId="34" fillId="0" borderId="127" xfId="0" applyNumberFormat="1" applyFont="1" applyFill="1" applyBorder="1" applyAlignment="1" applyProtection="1">
      <alignment horizontal="right" vertical="center" indent="1"/>
      <protection locked="0"/>
    </xf>
    <xf numFmtId="177" fontId="34" fillId="0" borderId="128" xfId="0" applyNumberFormat="1" applyFont="1" applyFill="1" applyBorder="1" applyAlignment="1" applyProtection="1">
      <alignment horizontal="right" vertical="center" indent="1"/>
      <protection locked="0"/>
    </xf>
    <xf numFmtId="0" fontId="7" fillId="0" borderId="56" xfId="0" applyFont="1" applyBorder="1" applyAlignment="1" applyProtection="1">
      <alignment horizontal="center" vertical="center"/>
    </xf>
    <xf numFmtId="0" fontId="6" fillId="0" borderId="57" xfId="0" applyFont="1" applyBorder="1" applyAlignment="1" applyProtection="1">
      <alignment horizontal="center" vertical="center"/>
    </xf>
    <xf numFmtId="0" fontId="6" fillId="6" borderId="28" xfId="0" applyFont="1" applyFill="1" applyBorder="1" applyAlignment="1" applyProtection="1">
      <alignment horizontal="center"/>
      <protection hidden="1"/>
    </xf>
    <xf numFmtId="0" fontId="7" fillId="6" borderId="132" xfId="0" applyFont="1" applyFill="1" applyBorder="1" applyAlignment="1" applyProtection="1">
      <alignment horizontal="left" vertical="center" shrinkToFit="1"/>
      <protection hidden="1"/>
    </xf>
    <xf numFmtId="0" fontId="7" fillId="6" borderId="133" xfId="0" applyFont="1" applyFill="1" applyBorder="1" applyAlignment="1" applyProtection="1">
      <alignment horizontal="left" vertical="center" shrinkToFit="1"/>
      <protection hidden="1"/>
    </xf>
    <xf numFmtId="0" fontId="7" fillId="6" borderId="134" xfId="0" applyFont="1" applyFill="1" applyBorder="1" applyAlignment="1" applyProtection="1">
      <alignment horizontal="center" vertical="center" shrinkToFit="1"/>
      <protection hidden="1"/>
    </xf>
    <xf numFmtId="0" fontId="7" fillId="6" borderId="135" xfId="0" applyFont="1" applyFill="1" applyBorder="1" applyAlignment="1" applyProtection="1">
      <alignment horizontal="center" vertical="center" shrinkToFit="1"/>
      <protection hidden="1"/>
    </xf>
    <xf numFmtId="185" fontId="34" fillId="0" borderId="136" xfId="0" applyNumberFormat="1" applyFont="1" applyFill="1" applyBorder="1" applyAlignment="1" applyProtection="1">
      <alignment horizontal="center" vertical="center"/>
      <protection locked="0"/>
    </xf>
    <xf numFmtId="185" fontId="34" fillId="0" borderId="137" xfId="0" applyNumberFormat="1" applyFont="1" applyFill="1" applyBorder="1" applyAlignment="1" applyProtection="1">
      <alignment horizontal="center" vertical="center"/>
      <protection locked="0"/>
    </xf>
    <xf numFmtId="185" fontId="34" fillId="0" borderId="138" xfId="0" applyNumberFormat="1" applyFont="1" applyFill="1" applyBorder="1" applyAlignment="1" applyProtection="1">
      <alignment horizontal="center" vertical="center"/>
      <protection locked="0"/>
    </xf>
    <xf numFmtId="185" fontId="34" fillId="0" borderId="139" xfId="0" applyNumberFormat="1" applyFont="1" applyFill="1" applyBorder="1" applyAlignment="1" applyProtection="1">
      <alignment horizontal="center" vertical="center"/>
      <protection locked="0"/>
    </xf>
    <xf numFmtId="0" fontId="7" fillId="0" borderId="59" xfId="0" applyFont="1" applyBorder="1" applyAlignment="1">
      <alignment horizontal="center" vertical="center"/>
    </xf>
    <xf numFmtId="0" fontId="6" fillId="0" borderId="14" xfId="0" applyFont="1" applyBorder="1" applyAlignment="1">
      <alignment horizontal="center" vertical="center"/>
    </xf>
    <xf numFmtId="0" fontId="13" fillId="6" borderId="2" xfId="0" applyFont="1" applyFill="1" applyBorder="1" applyAlignment="1" applyProtection="1">
      <alignment horizontal="left" vertical="center"/>
      <protection hidden="1"/>
    </xf>
    <xf numFmtId="0" fontId="13" fillId="6" borderId="3" xfId="0" applyFont="1" applyFill="1" applyBorder="1" applyAlignment="1" applyProtection="1">
      <alignment horizontal="left" vertical="center"/>
      <protection hidden="1"/>
    </xf>
    <xf numFmtId="176" fontId="6" fillId="6" borderId="14" xfId="0" applyNumberFormat="1" applyFont="1" applyFill="1" applyBorder="1" applyAlignment="1" applyProtection="1">
      <alignment horizontal="center" vertical="center"/>
      <protection hidden="1"/>
    </xf>
    <xf numFmtId="0" fontId="6" fillId="6" borderId="102" xfId="0" applyFont="1" applyFill="1" applyBorder="1" applyAlignment="1" applyProtection="1">
      <alignment horizontal="left" vertical="center" indent="1"/>
      <protection hidden="1"/>
    </xf>
    <xf numFmtId="0" fontId="6" fillId="6" borderId="90" xfId="0" applyFont="1" applyFill="1" applyBorder="1" applyAlignment="1" applyProtection="1">
      <alignment horizontal="left" vertical="center" indent="1"/>
      <protection hidden="1"/>
    </xf>
    <xf numFmtId="0" fontId="6" fillId="6" borderId="128" xfId="0" applyFont="1" applyFill="1" applyBorder="1" applyAlignment="1" applyProtection="1">
      <alignment horizontal="left" vertical="center" indent="1"/>
      <protection hidden="1"/>
    </xf>
    <xf numFmtId="0" fontId="6" fillId="6" borderId="106" xfId="0" applyFont="1" applyFill="1" applyBorder="1" applyAlignment="1" applyProtection="1">
      <alignment horizontal="left" vertical="center" indent="1"/>
      <protection hidden="1"/>
    </xf>
    <xf numFmtId="0" fontId="7" fillId="6" borderId="129" xfId="0" applyFont="1" applyFill="1" applyBorder="1" applyAlignment="1" applyProtection="1">
      <alignment horizontal="center" vertical="center"/>
      <protection hidden="1"/>
    </xf>
    <xf numFmtId="0" fontId="7" fillId="6" borderId="130" xfId="0" applyFont="1" applyFill="1" applyBorder="1" applyAlignment="1" applyProtection="1">
      <alignment horizontal="center" vertical="center"/>
      <protection hidden="1"/>
    </xf>
    <xf numFmtId="0" fontId="61" fillId="6" borderId="57" xfId="0" applyFont="1" applyFill="1" applyBorder="1" applyAlignment="1" applyProtection="1">
      <alignment horizontal="left"/>
      <protection hidden="1"/>
    </xf>
    <xf numFmtId="0" fontId="61" fillId="6" borderId="58" xfId="0" applyFont="1" applyFill="1" applyBorder="1" applyAlignment="1" applyProtection="1">
      <alignment horizontal="left"/>
      <protection hidden="1"/>
    </xf>
    <xf numFmtId="0" fontId="7" fillId="6" borderId="126" xfId="0" applyFont="1" applyFill="1" applyBorder="1" applyAlignment="1" applyProtection="1">
      <alignment horizontal="center" vertical="center"/>
      <protection hidden="1"/>
    </xf>
    <xf numFmtId="0" fontId="7" fillId="6" borderId="99" xfId="0" applyFont="1" applyFill="1" applyBorder="1" applyAlignment="1" applyProtection="1">
      <alignment horizontal="center" vertical="center"/>
      <protection hidden="1"/>
    </xf>
    <xf numFmtId="0" fontId="61" fillId="6" borderId="67" xfId="0" applyFont="1" applyFill="1" applyBorder="1" applyAlignment="1" applyProtection="1">
      <alignment horizontal="left"/>
      <protection hidden="1"/>
    </xf>
    <xf numFmtId="14" fontId="6" fillId="0" borderId="2" xfId="0" applyNumberFormat="1" applyFont="1" applyFill="1" applyBorder="1" applyAlignment="1" applyProtection="1">
      <alignment horizontal="right" vertical="center" indent="1"/>
      <protection hidden="1"/>
    </xf>
    <xf numFmtId="14" fontId="6" fillId="0" borderId="3" xfId="0" applyNumberFormat="1" applyFont="1" applyFill="1" applyBorder="1" applyAlignment="1" applyProtection="1">
      <alignment horizontal="right" vertical="center" indent="1"/>
      <protection hidden="1"/>
    </xf>
    <xf numFmtId="0" fontId="33" fillId="0" borderId="28" xfId="0" applyFont="1" applyFill="1" applyBorder="1" applyAlignment="1" applyProtection="1">
      <alignment horizontal="left" vertical="center"/>
      <protection locked="0"/>
    </xf>
    <xf numFmtId="0" fontId="33" fillId="0" borderId="117" xfId="0" applyFont="1" applyFill="1" applyBorder="1" applyAlignment="1" applyProtection="1">
      <alignment horizontal="left" vertical="center"/>
      <protection locked="0"/>
    </xf>
    <xf numFmtId="0" fontId="33" fillId="0" borderId="41" xfId="0" applyFont="1" applyFill="1" applyBorder="1" applyAlignment="1" applyProtection="1">
      <alignment horizontal="left" vertical="center"/>
      <protection locked="0"/>
    </xf>
    <xf numFmtId="0" fontId="33" fillId="0" borderId="49" xfId="0" applyFont="1" applyFill="1" applyBorder="1" applyAlignment="1" applyProtection="1">
      <alignment horizontal="left" vertical="center"/>
      <protection locked="0"/>
    </xf>
    <xf numFmtId="0" fontId="7" fillId="0" borderId="77" xfId="0" applyFont="1" applyFill="1" applyBorder="1" applyAlignment="1" applyProtection="1">
      <alignment horizontal="center"/>
      <protection hidden="1"/>
    </xf>
    <xf numFmtId="0" fontId="7" fillId="0" borderId="28" xfId="0" applyFont="1" applyFill="1" applyBorder="1" applyAlignment="1" applyProtection="1">
      <alignment horizontal="center"/>
      <protection hidden="1"/>
    </xf>
    <xf numFmtId="0" fontId="7" fillId="0" borderId="131" xfId="0" applyFont="1" applyFill="1" applyBorder="1" applyAlignment="1" applyProtection="1">
      <alignment horizontal="center"/>
      <protection hidden="1"/>
    </xf>
    <xf numFmtId="0" fontId="7" fillId="0" borderId="41" xfId="0" applyFont="1" applyFill="1" applyBorder="1" applyAlignment="1" applyProtection="1">
      <alignment horizontal="center"/>
      <protection hidden="1"/>
    </xf>
    <xf numFmtId="0" fontId="4" fillId="0" borderId="1" xfId="0" applyFont="1" applyFill="1" applyBorder="1" applyAlignment="1" applyProtection="1">
      <alignment horizontal="left" vertical="top" wrapText="1"/>
      <protection hidden="1"/>
    </xf>
    <xf numFmtId="0" fontId="4" fillId="0" borderId="2" xfId="0" applyFont="1" applyFill="1" applyBorder="1" applyAlignment="1" applyProtection="1">
      <alignment horizontal="left" vertical="top" wrapText="1"/>
      <protection hidden="1"/>
    </xf>
    <xf numFmtId="0" fontId="4" fillId="0" borderId="3" xfId="0" applyFont="1" applyFill="1" applyBorder="1" applyAlignment="1" applyProtection="1">
      <alignment horizontal="left" vertical="top" wrapText="1"/>
      <protection hidden="1"/>
    </xf>
    <xf numFmtId="0" fontId="4" fillId="0" borderId="4" xfId="0" applyFont="1" applyFill="1" applyBorder="1" applyAlignment="1" applyProtection="1">
      <alignment horizontal="left" vertical="top" wrapText="1"/>
      <protection hidden="1"/>
    </xf>
    <xf numFmtId="0" fontId="4" fillId="0" borderId="0" xfId="0" applyFont="1" applyFill="1" applyBorder="1" applyAlignment="1" applyProtection="1">
      <alignment horizontal="left" vertical="top" wrapText="1"/>
      <protection hidden="1"/>
    </xf>
    <xf numFmtId="0" fontId="4" fillId="0" borderId="5" xfId="0" applyFont="1" applyFill="1" applyBorder="1" applyAlignment="1" applyProtection="1">
      <alignment horizontal="left" vertical="top" wrapText="1"/>
      <protection hidden="1"/>
    </xf>
    <xf numFmtId="0" fontId="4" fillId="0" borderId="8" xfId="0" applyFont="1" applyFill="1" applyBorder="1" applyAlignment="1" applyProtection="1">
      <alignment horizontal="left" vertical="top" wrapText="1"/>
      <protection hidden="1"/>
    </xf>
    <xf numFmtId="0" fontId="4" fillId="0" borderId="6" xfId="0" applyFont="1" applyFill="1" applyBorder="1" applyAlignment="1" applyProtection="1">
      <alignment horizontal="left" vertical="top" wrapText="1"/>
      <protection hidden="1"/>
    </xf>
    <xf numFmtId="0" fontId="4" fillId="0" borderId="7" xfId="0" applyFont="1" applyFill="1" applyBorder="1" applyAlignment="1" applyProtection="1">
      <alignment horizontal="left" vertical="top" wrapText="1"/>
      <protection hidden="1"/>
    </xf>
    <xf numFmtId="0" fontId="6" fillId="6" borderId="4" xfId="0" applyFont="1" applyFill="1" applyBorder="1" applyAlignment="1" applyProtection="1">
      <alignment horizontal="left"/>
      <protection hidden="1"/>
    </xf>
    <xf numFmtId="0" fontId="6" fillId="6" borderId="0" xfId="0" applyFont="1" applyFill="1" applyBorder="1" applyAlignment="1" applyProtection="1">
      <alignment horizontal="left"/>
      <protection hidden="1"/>
    </xf>
    <xf numFmtId="0" fontId="6" fillId="6" borderId="77" xfId="0" applyFont="1" applyFill="1" applyBorder="1" applyAlignment="1" applyProtection="1">
      <alignment horizontal="left" vertical="center"/>
      <protection hidden="1"/>
    </xf>
    <xf numFmtId="0" fontId="6" fillId="6" borderId="28" xfId="0" applyFont="1" applyFill="1" applyBorder="1" applyAlignment="1" applyProtection="1">
      <alignment horizontal="left" vertical="center"/>
      <protection hidden="1"/>
    </xf>
    <xf numFmtId="0" fontId="58" fillId="0" borderId="0" xfId="0" applyFont="1" applyAlignment="1" applyProtection="1">
      <alignment horizontal="left" vertical="center"/>
      <protection locked="0"/>
    </xf>
    <xf numFmtId="0" fontId="58" fillId="0" borderId="5" xfId="0" applyFont="1" applyBorder="1" applyAlignment="1" applyProtection="1">
      <alignment horizontal="left" vertical="center"/>
      <protection locked="0"/>
    </xf>
    <xf numFmtId="0" fontId="6" fillId="6" borderId="101" xfId="0" applyFont="1" applyFill="1" applyBorder="1" applyAlignment="1" applyProtection="1">
      <alignment horizontal="left" vertical="center" indent="1"/>
      <protection hidden="1"/>
    </xf>
    <xf numFmtId="0" fontId="6" fillId="6" borderId="89" xfId="0" applyFont="1" applyFill="1" applyBorder="1" applyAlignment="1" applyProtection="1">
      <alignment horizontal="left" vertical="center" indent="1"/>
      <protection hidden="1"/>
    </xf>
    <xf numFmtId="0" fontId="6" fillId="0" borderId="102" xfId="0" applyFont="1" applyFill="1" applyBorder="1" applyAlignment="1" applyProtection="1">
      <alignment horizontal="left" vertical="center" indent="1"/>
      <protection hidden="1"/>
    </xf>
    <xf numFmtId="0" fontId="6" fillId="0" borderId="90" xfId="0" applyFont="1" applyFill="1" applyBorder="1" applyAlignment="1" applyProtection="1">
      <alignment horizontal="left" vertical="center" indent="1"/>
      <protection hidden="1"/>
    </xf>
    <xf numFmtId="0" fontId="6" fillId="6" borderId="103" xfId="0" applyFont="1" applyFill="1" applyBorder="1" applyAlignment="1" applyProtection="1">
      <alignment horizontal="center" vertical="center"/>
      <protection hidden="1"/>
    </xf>
    <xf numFmtId="0" fontId="6" fillId="6" borderId="89" xfId="0" applyFont="1" applyFill="1" applyBorder="1" applyAlignment="1" applyProtection="1">
      <alignment horizontal="center" vertical="center"/>
      <protection hidden="1"/>
    </xf>
    <xf numFmtId="177" fontId="34" fillId="0" borderId="87" xfId="0" applyNumberFormat="1" applyFont="1" applyFill="1" applyBorder="1" applyAlignment="1" applyProtection="1">
      <alignment horizontal="right" vertical="center" indent="1"/>
      <protection locked="0"/>
    </xf>
    <xf numFmtId="177" fontId="34" fillId="0" borderId="101" xfId="0" applyNumberFormat="1" applyFont="1" applyFill="1" applyBorder="1" applyAlignment="1" applyProtection="1">
      <alignment horizontal="right" vertical="center" indent="1"/>
      <protection locked="0"/>
    </xf>
    <xf numFmtId="0" fontId="35" fillId="6" borderId="61" xfId="0" applyFont="1" applyFill="1" applyBorder="1" applyAlignment="1" applyProtection="1">
      <alignment horizontal="center" vertical="center" shrinkToFit="1"/>
      <protection hidden="1"/>
    </xf>
    <xf numFmtId="0" fontId="35" fillId="6" borderId="57" xfId="0" applyFont="1" applyFill="1" applyBorder="1" applyAlignment="1" applyProtection="1">
      <alignment horizontal="center" vertical="center" shrinkToFit="1"/>
      <protection hidden="1"/>
    </xf>
    <xf numFmtId="0" fontId="35" fillId="6" borderId="58" xfId="0" applyFont="1" applyFill="1" applyBorder="1" applyAlignment="1" applyProtection="1">
      <alignment horizontal="center" vertical="center" shrinkToFit="1"/>
      <protection hidden="1"/>
    </xf>
    <xf numFmtId="0" fontId="53" fillId="0" borderId="49" xfId="0" applyFont="1" applyBorder="1" applyAlignment="1" applyProtection="1">
      <alignment horizontal="center" vertical="center"/>
      <protection hidden="1"/>
    </xf>
    <xf numFmtId="0" fontId="53" fillId="0" borderId="51" xfId="0" applyFont="1" applyBorder="1" applyAlignment="1" applyProtection="1">
      <alignment horizontal="center" vertical="center"/>
      <protection hidden="1"/>
    </xf>
    <xf numFmtId="0" fontId="53" fillId="6" borderId="4" xfId="0" applyFont="1" applyFill="1" applyBorder="1" applyAlignment="1" applyProtection="1">
      <alignment horizontal="left"/>
      <protection hidden="1"/>
    </xf>
    <xf numFmtId="0" fontId="53" fillId="6" borderId="0" xfId="0" applyFont="1" applyFill="1" applyBorder="1" applyAlignment="1" applyProtection="1">
      <alignment horizontal="left"/>
      <protection hidden="1"/>
    </xf>
    <xf numFmtId="0" fontId="53" fillId="6" borderId="31" xfId="0" applyFont="1" applyFill="1" applyBorder="1" applyAlignment="1" applyProtection="1">
      <alignment horizontal="left"/>
      <protection hidden="1"/>
    </xf>
    <xf numFmtId="0" fontId="53" fillId="6" borderId="4" xfId="0" applyFont="1" applyFill="1" applyBorder="1" applyAlignment="1" applyProtection="1">
      <alignment horizontal="left" vertical="center"/>
      <protection hidden="1"/>
    </xf>
    <xf numFmtId="0" fontId="53" fillId="6" borderId="0" xfId="0" applyFont="1" applyFill="1" applyBorder="1" applyAlignment="1" applyProtection="1">
      <alignment horizontal="left" vertical="center"/>
      <protection hidden="1"/>
    </xf>
    <xf numFmtId="0" fontId="53" fillId="6" borderId="31" xfId="0" applyFont="1" applyFill="1" applyBorder="1" applyAlignment="1" applyProtection="1">
      <alignment horizontal="left" vertical="center"/>
      <protection hidden="1"/>
    </xf>
    <xf numFmtId="0" fontId="6" fillId="6" borderId="96" xfId="0" applyFont="1" applyFill="1" applyBorder="1" applyAlignment="1" applyProtection="1">
      <alignment horizontal="center"/>
      <protection hidden="1"/>
    </xf>
    <xf numFmtId="0" fontId="6" fillId="6" borderId="86" xfId="0" applyFont="1" applyFill="1" applyBorder="1" applyAlignment="1" applyProtection="1">
      <alignment horizontal="center"/>
      <protection hidden="1"/>
    </xf>
    <xf numFmtId="179" fontId="6" fillId="6" borderId="92" xfId="0" applyNumberFormat="1" applyFont="1" applyFill="1" applyBorder="1" applyAlignment="1" applyProtection="1">
      <alignment horizontal="center" vertical="center"/>
      <protection hidden="1"/>
    </xf>
    <xf numFmtId="0" fontId="52" fillId="6" borderId="16" xfId="0" applyFont="1" applyFill="1" applyBorder="1" applyAlignment="1" applyProtection="1">
      <alignment horizontal="center" vertical="center" wrapText="1"/>
      <protection hidden="1"/>
    </xf>
    <xf numFmtId="0" fontId="52" fillId="6" borderId="83" xfId="0" applyFont="1" applyFill="1" applyBorder="1" applyAlignment="1" applyProtection="1">
      <alignment horizontal="center" vertical="center" wrapText="1"/>
      <protection hidden="1"/>
    </xf>
    <xf numFmtId="0" fontId="52" fillId="6" borderId="17" xfId="0" applyFont="1" applyFill="1" applyBorder="1" applyAlignment="1" applyProtection="1">
      <alignment horizontal="center" vertical="center" wrapText="1"/>
      <protection hidden="1"/>
    </xf>
    <xf numFmtId="179" fontId="6" fillId="6" borderId="91" xfId="0" applyNumberFormat="1" applyFont="1" applyFill="1" applyBorder="1" applyAlignment="1" applyProtection="1">
      <alignment horizontal="center" vertical="center"/>
      <protection hidden="1"/>
    </xf>
    <xf numFmtId="0" fontId="6" fillId="6" borderId="92" xfId="0" applyFont="1" applyFill="1" applyBorder="1" applyAlignment="1" applyProtection="1">
      <alignment horizontal="center"/>
      <protection hidden="1"/>
    </xf>
    <xf numFmtId="0" fontId="6" fillId="6" borderId="93" xfId="0" applyFont="1" applyFill="1" applyBorder="1" applyAlignment="1" applyProtection="1">
      <alignment horizontal="center"/>
      <protection hidden="1"/>
    </xf>
    <xf numFmtId="0" fontId="34" fillId="0" borderId="39" xfId="0" applyFont="1" applyFill="1" applyBorder="1" applyAlignment="1" applyProtection="1">
      <alignment horizontal="center" vertical="center"/>
      <protection locked="0"/>
    </xf>
    <xf numFmtId="0" fontId="34" fillId="0" borderId="118" xfId="0" applyFont="1" applyFill="1" applyBorder="1" applyAlignment="1" applyProtection="1">
      <alignment horizontal="center" vertical="center"/>
      <protection locked="0"/>
    </xf>
    <xf numFmtId="0" fontId="6" fillId="6" borderId="4" xfId="0" applyFont="1" applyFill="1" applyBorder="1" applyAlignment="1" applyProtection="1">
      <alignment horizontal="left" vertical="center"/>
      <protection hidden="1"/>
    </xf>
    <xf numFmtId="0" fontId="6" fillId="6" borderId="0" xfId="0" applyFont="1" applyFill="1" applyBorder="1" applyAlignment="1" applyProtection="1">
      <alignment horizontal="left" vertical="center"/>
      <protection hidden="1"/>
    </xf>
    <xf numFmtId="0" fontId="6" fillId="6" borderId="4" xfId="0" applyFont="1" applyFill="1" applyBorder="1" applyAlignment="1" applyProtection="1">
      <alignment vertical="center"/>
      <protection hidden="1"/>
    </xf>
    <xf numFmtId="0" fontId="6" fillId="6" borderId="0" xfId="0" applyFont="1" applyFill="1" applyBorder="1" applyAlignment="1" applyProtection="1">
      <alignment vertical="center"/>
      <protection hidden="1"/>
    </xf>
    <xf numFmtId="185" fontId="34" fillId="0" borderId="118" xfId="0" applyNumberFormat="1" applyFont="1" applyFill="1" applyBorder="1" applyAlignment="1" applyProtection="1">
      <alignment horizontal="center" vertical="center"/>
      <protection locked="0"/>
    </xf>
    <xf numFmtId="185" fontId="34" fillId="0" borderId="83" xfId="0" applyNumberFormat="1" applyFont="1" applyFill="1" applyBorder="1" applyAlignment="1" applyProtection="1">
      <alignment horizontal="center" vertical="center"/>
      <protection locked="0"/>
    </xf>
    <xf numFmtId="179" fontId="34" fillId="0" borderId="118" xfId="0" applyNumberFormat="1" applyFont="1" applyFill="1" applyBorder="1" applyAlignment="1" applyProtection="1">
      <alignment horizontal="center" vertical="center"/>
      <protection locked="0"/>
    </xf>
    <xf numFmtId="179" fontId="34" fillId="0" borderId="83" xfId="0" applyNumberFormat="1" applyFont="1" applyFill="1" applyBorder="1" applyAlignment="1" applyProtection="1">
      <alignment horizontal="center" vertical="center"/>
      <protection locked="0"/>
    </xf>
    <xf numFmtId="0" fontId="7" fillId="6" borderId="16" xfId="0" applyFont="1" applyFill="1" applyBorder="1" applyAlignment="1" applyProtection="1">
      <alignment horizontal="center" vertical="center"/>
      <protection hidden="1"/>
    </xf>
    <xf numFmtId="0" fontId="7" fillId="6" borderId="91" xfId="0" applyFont="1" applyFill="1" applyBorder="1" applyAlignment="1" applyProtection="1">
      <alignment horizontal="center" vertical="center"/>
      <protection hidden="1"/>
    </xf>
    <xf numFmtId="0" fontId="7" fillId="6" borderId="92" xfId="0" applyFont="1" applyFill="1" applyBorder="1" applyAlignment="1" applyProtection="1">
      <alignment horizontal="center" vertical="center"/>
      <protection hidden="1"/>
    </xf>
    <xf numFmtId="0" fontId="7" fillId="6" borderId="93" xfId="0" applyFont="1" applyFill="1" applyBorder="1" applyAlignment="1" applyProtection="1">
      <alignment horizontal="center" vertical="center"/>
      <protection hidden="1"/>
    </xf>
    <xf numFmtId="179" fontId="6" fillId="6" borderId="93" xfId="0" applyNumberFormat="1" applyFont="1" applyFill="1" applyBorder="1" applyAlignment="1" applyProtection="1">
      <alignment horizontal="center" vertical="center"/>
      <protection hidden="1"/>
    </xf>
    <xf numFmtId="0" fontId="6" fillId="6" borderId="91" xfId="0" applyFont="1" applyFill="1" applyBorder="1" applyAlignment="1" applyProtection="1">
      <alignment horizontal="center"/>
      <protection hidden="1"/>
    </xf>
    <xf numFmtId="0" fontId="7" fillId="0" borderId="30" xfId="0" applyFont="1" applyBorder="1" applyAlignment="1" applyProtection="1">
      <alignment horizontal="left" vertical="center"/>
      <protection hidden="1"/>
    </xf>
    <xf numFmtId="0" fontId="6" fillId="0" borderId="9" xfId="0" applyFont="1" applyBorder="1" applyAlignment="1" applyProtection="1">
      <alignment horizontal="left" vertical="center"/>
      <protection hidden="1"/>
    </xf>
    <xf numFmtId="0" fontId="6" fillId="0" borderId="83" xfId="0" applyFont="1" applyBorder="1" applyAlignment="1" applyProtection="1">
      <alignment horizontal="left" vertical="center"/>
      <protection hidden="1"/>
    </xf>
    <xf numFmtId="0" fontId="6" fillId="0" borderId="39" xfId="0" applyFont="1" applyBorder="1" applyAlignment="1" applyProtection="1">
      <alignment horizontal="left" vertical="center"/>
      <protection hidden="1"/>
    </xf>
    <xf numFmtId="0" fontId="7" fillId="0" borderId="13" xfId="0" applyFont="1" applyBorder="1" applyAlignment="1" applyProtection="1">
      <alignment horizontal="right" vertical="center" shrinkToFit="1"/>
      <protection hidden="1"/>
    </xf>
    <xf numFmtId="0" fontId="6" fillId="0" borderId="18" xfId="0" applyFont="1" applyBorder="1" applyAlignment="1" applyProtection="1">
      <alignment horizontal="right" vertical="center" shrinkToFit="1"/>
      <protection hidden="1"/>
    </xf>
    <xf numFmtId="0" fontId="6" fillId="0" borderId="83" xfId="0" applyFont="1" applyBorder="1" applyAlignment="1" applyProtection="1">
      <alignment horizontal="center" vertical="center" shrinkToFit="1"/>
      <protection hidden="1"/>
    </xf>
    <xf numFmtId="0" fontId="6" fillId="0" borderId="39" xfId="0" applyFont="1" applyBorder="1" applyAlignment="1" applyProtection="1">
      <alignment horizontal="center" vertical="center" shrinkToFit="1"/>
      <protection hidden="1"/>
    </xf>
    <xf numFmtId="0" fontId="7" fillId="0" borderId="118" xfId="0" applyFont="1" applyBorder="1" applyAlignment="1" applyProtection="1">
      <alignment horizontal="right" vertical="center" indent="1"/>
      <protection hidden="1"/>
    </xf>
    <xf numFmtId="0" fontId="7" fillId="0" borderId="83" xfId="0" applyFont="1" applyBorder="1" applyAlignment="1" applyProtection="1">
      <alignment horizontal="right" vertical="center" indent="1"/>
      <protection hidden="1"/>
    </xf>
    <xf numFmtId="0" fontId="30" fillId="8" borderId="13" xfId="0" applyFont="1" applyFill="1" applyBorder="1" applyAlignment="1" applyProtection="1">
      <alignment vertical="center"/>
      <protection hidden="1"/>
    </xf>
    <xf numFmtId="0" fontId="30" fillId="8" borderId="18" xfId="0" applyFont="1" applyFill="1" applyBorder="1" applyAlignment="1" applyProtection="1">
      <alignment vertical="center"/>
      <protection hidden="1"/>
    </xf>
    <xf numFmtId="14" fontId="31" fillId="8" borderId="18" xfId="0" applyNumberFormat="1" applyFont="1" applyFill="1" applyBorder="1" applyAlignment="1" applyProtection="1">
      <alignment horizontal="right" vertical="center"/>
      <protection hidden="1"/>
    </xf>
    <xf numFmtId="0" fontId="31" fillId="8" borderId="18" xfId="0" applyFont="1" applyFill="1" applyBorder="1" applyAlignment="1" applyProtection="1">
      <alignment horizontal="right" vertical="center"/>
      <protection hidden="1"/>
    </xf>
    <xf numFmtId="0" fontId="31" fillId="8" borderId="39" xfId="0" applyFont="1" applyFill="1" applyBorder="1" applyAlignment="1" applyProtection="1">
      <alignment horizontal="right" vertical="center"/>
      <protection hidden="1"/>
    </xf>
    <xf numFmtId="14" fontId="11" fillId="0" borderId="0" xfId="0" applyNumberFormat="1" applyFont="1" applyBorder="1" applyAlignment="1" applyProtection="1">
      <alignment horizontal="right" vertical="center"/>
      <protection hidden="1"/>
    </xf>
    <xf numFmtId="0" fontId="31" fillId="8" borderId="118" xfId="0" applyFont="1" applyFill="1" applyBorder="1" applyAlignment="1" applyProtection="1">
      <alignment horizontal="center" vertical="center"/>
      <protection hidden="1"/>
    </xf>
    <xf numFmtId="0" fontId="31" fillId="8" borderId="83" xfId="0" applyFont="1" applyFill="1" applyBorder="1" applyAlignment="1" applyProtection="1">
      <alignment horizontal="center" vertical="center"/>
      <protection hidden="1"/>
    </xf>
    <xf numFmtId="0" fontId="31" fillId="8" borderId="39" xfId="0" applyFont="1" applyFill="1" applyBorder="1" applyAlignment="1" applyProtection="1">
      <alignment horizontal="center" vertical="center"/>
      <protection hidden="1"/>
    </xf>
    <xf numFmtId="0" fontId="7" fillId="0" borderId="13" xfId="0" applyFont="1" applyBorder="1" applyAlignment="1" applyProtection="1">
      <alignment horizontal="left" vertical="center"/>
      <protection hidden="1"/>
    </xf>
    <xf numFmtId="0" fontId="6" fillId="0" borderId="18" xfId="0" applyFont="1" applyBorder="1" applyAlignment="1" applyProtection="1">
      <alignment horizontal="left" vertical="center"/>
      <protection hidden="1"/>
    </xf>
    <xf numFmtId="0" fontId="7" fillId="0" borderId="83" xfId="0" applyFont="1" applyBorder="1" applyAlignment="1" applyProtection="1">
      <alignment horizontal="center" vertical="center"/>
      <protection hidden="1"/>
    </xf>
    <xf numFmtId="0" fontId="7" fillId="0" borderId="39" xfId="0" applyFont="1" applyBorder="1" applyAlignment="1" applyProtection="1">
      <alignment horizontal="center" vertical="center"/>
      <protection hidden="1"/>
    </xf>
    <xf numFmtId="185" fontId="6" fillId="0" borderId="9" xfId="0" applyNumberFormat="1" applyFont="1" applyBorder="1" applyAlignment="1" applyProtection="1">
      <alignment horizontal="center" vertical="center" shrinkToFit="1"/>
      <protection hidden="1"/>
    </xf>
    <xf numFmtId="0" fontId="7" fillId="0" borderId="118" xfId="0" applyFont="1" applyBorder="1" applyAlignment="1" applyProtection="1">
      <alignment horizontal="center" vertical="center"/>
      <protection hidden="1"/>
    </xf>
    <xf numFmtId="0" fontId="6" fillId="0" borderId="13" xfId="0" applyFont="1" applyBorder="1" applyAlignment="1" applyProtection="1">
      <alignment horizontal="right" vertical="center" shrinkToFit="1"/>
      <protection hidden="1"/>
    </xf>
    <xf numFmtId="0" fontId="6" fillId="0" borderId="9" xfId="0" applyFont="1" applyBorder="1" applyAlignment="1" applyProtection="1">
      <alignment horizontal="center" vertical="center" shrinkToFit="1"/>
      <protection hidden="1"/>
    </xf>
    <xf numFmtId="0" fontId="7" fillId="0" borderId="118" xfId="0" applyFont="1" applyBorder="1" applyAlignment="1" applyProtection="1">
      <alignment horizontal="right" vertical="center" indent="1" shrinkToFit="1"/>
      <protection hidden="1"/>
    </xf>
    <xf numFmtId="0" fontId="7" fillId="0" borderId="83" xfId="0" applyFont="1" applyBorder="1" applyAlignment="1" applyProtection="1">
      <alignment horizontal="right" vertical="center" indent="1" shrinkToFit="1"/>
      <protection hidden="1"/>
    </xf>
    <xf numFmtId="0" fontId="11" fillId="0" borderId="83" xfId="0" applyFont="1" applyBorder="1" applyAlignment="1">
      <alignment horizontal="center" vertical="center"/>
    </xf>
    <xf numFmtId="0" fontId="11" fillId="0" borderId="39" xfId="0" applyFont="1" applyBorder="1" applyAlignment="1">
      <alignment horizontal="center" vertical="center"/>
    </xf>
    <xf numFmtId="0" fontId="7" fillId="0" borderId="21" xfId="0" applyFont="1" applyBorder="1" applyAlignment="1" applyProtection="1">
      <alignment horizontal="right" vertical="center" shrinkToFit="1"/>
      <protection hidden="1"/>
    </xf>
    <xf numFmtId="0" fontId="6" fillId="0" borderId="11" xfId="0" applyFont="1" applyBorder="1" applyAlignment="1" applyProtection="1">
      <alignment horizontal="right" vertical="center" shrinkToFit="1"/>
      <protection hidden="1"/>
    </xf>
    <xf numFmtId="185" fontId="6" fillId="0" borderId="11" xfId="0" applyNumberFormat="1" applyFont="1" applyBorder="1" applyAlignment="1" applyProtection="1">
      <alignment horizontal="center" vertical="center" shrinkToFit="1"/>
      <protection hidden="1"/>
    </xf>
    <xf numFmtId="0" fontId="11" fillId="0" borderId="83" xfId="0" applyFont="1" applyFill="1" applyBorder="1" applyAlignment="1">
      <alignment horizontal="center" vertical="center"/>
    </xf>
    <xf numFmtId="0" fontId="11" fillId="0" borderId="39" xfId="0" applyFont="1" applyFill="1" applyBorder="1" applyAlignment="1">
      <alignment horizontal="center" vertical="center"/>
    </xf>
    <xf numFmtId="0" fontId="6" fillId="0" borderId="30" xfId="0" applyFont="1" applyBorder="1" applyAlignment="1" applyProtection="1">
      <alignment horizontal="center" vertical="center" shrinkToFit="1"/>
      <protection hidden="1"/>
    </xf>
    <xf numFmtId="0" fontId="4" fillId="0" borderId="19" xfId="0" applyFont="1" applyBorder="1" applyAlignment="1" applyProtection="1">
      <alignment horizontal="center" vertical="center" shrinkToFit="1"/>
      <protection hidden="1"/>
    </xf>
    <xf numFmtId="0" fontId="5" fillId="0" borderId="0"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protection hidden="1"/>
    </xf>
    <xf numFmtId="176" fontId="5" fillId="0" borderId="39" xfId="0" applyNumberFormat="1" applyFont="1" applyBorder="1" applyAlignment="1" applyProtection="1">
      <alignment horizontal="center" vertical="center"/>
      <protection hidden="1"/>
    </xf>
    <xf numFmtId="176" fontId="5" fillId="0" borderId="0" xfId="0" applyNumberFormat="1" applyFont="1" applyBorder="1" applyAlignment="1" applyProtection="1">
      <alignment horizontal="center" vertical="center"/>
      <protection hidden="1"/>
    </xf>
    <xf numFmtId="176" fontId="5" fillId="0" borderId="31" xfId="0" applyNumberFormat="1" applyFont="1" applyBorder="1" applyAlignment="1" applyProtection="1">
      <alignment horizontal="center" vertical="center"/>
      <protection hidden="1"/>
    </xf>
    <xf numFmtId="176" fontId="5" fillId="0" borderId="19" xfId="0" applyNumberFormat="1" applyFont="1" applyBorder="1" applyAlignment="1" applyProtection="1">
      <alignment horizontal="center" vertical="center"/>
      <protection hidden="1"/>
    </xf>
    <xf numFmtId="176" fontId="41" fillId="0" borderId="0" xfId="0" applyNumberFormat="1" applyFont="1" applyBorder="1" applyAlignment="1" applyProtection="1">
      <alignment horizontal="center" vertical="center"/>
      <protection hidden="1"/>
    </xf>
    <xf numFmtId="0" fontId="27" fillId="0" borderId="0" xfId="0" applyFont="1" applyBorder="1" applyAlignment="1" applyProtection="1">
      <alignment horizontal="center" vertical="center"/>
      <protection hidden="1"/>
    </xf>
    <xf numFmtId="0" fontId="27" fillId="0" borderId="13" xfId="0" applyFont="1" applyBorder="1" applyAlignment="1" applyProtection="1">
      <alignment vertical="center"/>
      <protection hidden="1"/>
    </xf>
    <xf numFmtId="0" fontId="27" fillId="0" borderId="18" xfId="0" applyFont="1" applyBorder="1" applyAlignment="1" applyProtection="1">
      <alignment vertical="center"/>
      <protection hidden="1"/>
    </xf>
    <xf numFmtId="0" fontId="27" fillId="0" borderId="13" xfId="0" applyFont="1" applyBorder="1" applyAlignment="1" applyProtection="1">
      <alignment horizontal="center" vertical="center"/>
      <protection hidden="1"/>
    </xf>
    <xf numFmtId="0" fontId="27" fillId="0" borderId="39" xfId="0" applyFont="1" applyBorder="1" applyAlignment="1" applyProtection="1">
      <alignment horizontal="center" vertical="center"/>
      <protection hidden="1"/>
    </xf>
    <xf numFmtId="0" fontId="27" fillId="0" borderId="18" xfId="0" applyFont="1" applyBorder="1" applyAlignment="1" applyProtection="1">
      <alignment horizontal="center" vertical="center"/>
      <protection hidden="1"/>
    </xf>
    <xf numFmtId="0" fontId="4" fillId="0" borderId="13" xfId="0" applyFont="1" applyBorder="1" applyAlignment="1" applyProtection="1">
      <alignment horizontal="center" vertical="center" shrinkToFit="1"/>
      <protection hidden="1"/>
    </xf>
    <xf numFmtId="0" fontId="5" fillId="0" borderId="18" xfId="0" applyFont="1" applyBorder="1" applyAlignment="1" applyProtection="1">
      <alignment horizontal="center" vertical="center" shrinkToFit="1"/>
      <protection hidden="1"/>
    </xf>
    <xf numFmtId="176" fontId="5" fillId="0" borderId="18" xfId="0" applyNumberFormat="1" applyFont="1" applyBorder="1" applyAlignment="1" applyProtection="1">
      <alignment horizontal="center" vertical="center"/>
      <protection hidden="1"/>
    </xf>
    <xf numFmtId="0" fontId="4" fillId="0" borderId="28" xfId="0" applyFont="1" applyBorder="1" applyAlignment="1" applyProtection="1">
      <alignment horizontal="center" vertical="center" wrapText="1"/>
      <protection hidden="1"/>
    </xf>
    <xf numFmtId="176" fontId="41" fillId="0" borderId="21" xfId="0" applyNumberFormat="1" applyFont="1" applyBorder="1" applyAlignment="1" applyProtection="1">
      <alignment horizontal="center" vertical="center"/>
      <protection hidden="1"/>
    </xf>
    <xf numFmtId="176" fontId="41" fillId="0" borderId="40" xfId="0" applyNumberFormat="1" applyFont="1" applyBorder="1" applyAlignment="1" applyProtection="1">
      <alignment horizontal="center" vertical="center"/>
      <protection hidden="1"/>
    </xf>
    <xf numFmtId="176" fontId="41" fillId="0" borderId="11" xfId="0" applyNumberFormat="1" applyFont="1" applyBorder="1" applyAlignment="1" applyProtection="1">
      <alignment horizontal="center" vertical="center"/>
      <protection hidden="1"/>
    </xf>
    <xf numFmtId="176" fontId="41" fillId="0" borderId="41" xfId="0" applyNumberFormat="1" applyFont="1" applyBorder="1" applyAlignment="1" applyProtection="1">
      <alignment horizontal="center" vertical="center"/>
      <protection hidden="1"/>
    </xf>
    <xf numFmtId="176" fontId="41" fillId="0" borderId="19" xfId="0" applyNumberFormat="1" applyFont="1" applyBorder="1" applyAlignment="1" applyProtection="1">
      <alignment horizontal="center" vertical="center"/>
      <protection hidden="1"/>
    </xf>
    <xf numFmtId="176" fontId="41" fillId="0" borderId="31" xfId="0" applyNumberFormat="1" applyFont="1" applyBorder="1" applyAlignment="1" applyProtection="1">
      <alignment horizontal="center" vertical="center"/>
      <protection hidden="1"/>
    </xf>
    <xf numFmtId="176" fontId="41" fillId="0" borderId="42" xfId="0" applyNumberFormat="1" applyFont="1" applyBorder="1" applyAlignment="1" applyProtection="1">
      <alignment horizontal="center" vertical="center"/>
      <protection hidden="1"/>
    </xf>
    <xf numFmtId="176" fontId="41" fillId="0" borderId="30" xfId="0" applyNumberFormat="1" applyFont="1" applyBorder="1" applyAlignment="1" applyProtection="1">
      <alignment horizontal="center" vertical="center"/>
      <protection hidden="1"/>
    </xf>
    <xf numFmtId="176" fontId="41" fillId="0" borderId="34" xfId="0" applyNumberFormat="1" applyFont="1" applyBorder="1" applyAlignment="1" applyProtection="1">
      <alignment horizontal="center" vertical="center"/>
      <protection hidden="1"/>
    </xf>
    <xf numFmtId="176" fontId="41" fillId="0" borderId="35" xfId="0" applyNumberFormat="1" applyFont="1" applyBorder="1" applyAlignment="1" applyProtection="1">
      <alignment horizontal="center" vertical="center"/>
      <protection hidden="1"/>
    </xf>
    <xf numFmtId="176" fontId="41" fillId="0" borderId="13" xfId="0" applyNumberFormat="1" applyFont="1" applyBorder="1" applyAlignment="1" applyProtection="1">
      <alignment horizontal="center" vertical="center"/>
      <protection hidden="1"/>
    </xf>
    <xf numFmtId="176" fontId="41" fillId="0" borderId="39" xfId="0" applyNumberFormat="1" applyFont="1" applyBorder="1" applyAlignment="1" applyProtection="1">
      <alignment horizontal="center" vertical="center"/>
      <protection hidden="1"/>
    </xf>
    <xf numFmtId="176" fontId="41" fillId="0" borderId="18" xfId="0" applyNumberFormat="1" applyFont="1" applyBorder="1" applyAlignment="1" applyProtection="1">
      <alignment horizontal="center" vertical="center"/>
      <protection hidden="1"/>
    </xf>
    <xf numFmtId="0" fontId="4" fillId="0" borderId="21"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40" xfId="0" applyFont="1" applyBorder="1" applyAlignment="1" applyProtection="1">
      <alignment horizontal="center" vertical="center" wrapText="1"/>
      <protection hidden="1"/>
    </xf>
    <xf numFmtId="0" fontId="5" fillId="0" borderId="19"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5" fillId="0" borderId="31" xfId="0" applyFont="1" applyBorder="1" applyAlignment="1" applyProtection="1">
      <alignment horizontal="center" vertical="center" wrapText="1"/>
      <protection hidden="1"/>
    </xf>
    <xf numFmtId="0" fontId="5" fillId="0" borderId="30"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34" xfId="0" applyFont="1" applyBorder="1" applyAlignment="1" applyProtection="1">
      <alignment horizontal="center" vertical="center" wrapText="1"/>
      <protection hidden="1"/>
    </xf>
    <xf numFmtId="176" fontId="5" fillId="0" borderId="21" xfId="0" applyNumberFormat="1" applyFont="1" applyBorder="1" applyAlignment="1" applyProtection="1">
      <alignment horizontal="center" vertical="center"/>
      <protection hidden="1"/>
    </xf>
    <xf numFmtId="176" fontId="5" fillId="0" borderId="40" xfId="0" applyNumberFormat="1" applyFont="1" applyBorder="1" applyAlignment="1" applyProtection="1">
      <alignment horizontal="center" vertical="center"/>
      <protection hidden="1"/>
    </xf>
    <xf numFmtId="176" fontId="5" fillId="0" borderId="11" xfId="0" applyNumberFormat="1" applyFont="1" applyBorder="1" applyAlignment="1" applyProtection="1">
      <alignment horizontal="center" vertical="center"/>
      <protection hidden="1"/>
    </xf>
    <xf numFmtId="0" fontId="5" fillId="0" borderId="40" xfId="0" applyFont="1" applyBorder="1" applyAlignment="1" applyProtection="1">
      <alignment horizontal="center" vertical="center"/>
      <protection hidden="1"/>
    </xf>
    <xf numFmtId="0" fontId="5" fillId="0" borderId="31" xfId="0" applyFont="1" applyBorder="1" applyAlignment="1" applyProtection="1">
      <alignment horizontal="center" vertical="center"/>
      <protection hidden="1"/>
    </xf>
    <xf numFmtId="176" fontId="5" fillId="0" borderId="30" xfId="0" applyNumberFormat="1" applyFont="1" applyBorder="1" applyAlignment="1" applyProtection="1">
      <alignment horizontal="center" vertical="center"/>
      <protection hidden="1"/>
    </xf>
    <xf numFmtId="176" fontId="5" fillId="0" borderId="34" xfId="0" applyNumberFormat="1" applyFont="1" applyBorder="1" applyAlignment="1" applyProtection="1">
      <alignment horizontal="center" vertical="center"/>
      <protection hidden="1"/>
    </xf>
    <xf numFmtId="176" fontId="5" fillId="0" borderId="9" xfId="0" applyNumberFormat="1" applyFont="1" applyBorder="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5" fillId="0" borderId="18" xfId="0" applyFont="1" applyBorder="1" applyAlignment="1" applyProtection="1">
      <alignment horizontal="center" vertical="center"/>
      <protection hidden="1"/>
    </xf>
    <xf numFmtId="0" fontId="4" fillId="0" borderId="21" xfId="0" applyFont="1" applyBorder="1" applyAlignment="1" applyProtection="1">
      <alignment horizontal="center" vertical="center" shrinkToFit="1"/>
      <protection hidden="1"/>
    </xf>
    <xf numFmtId="0" fontId="5" fillId="0" borderId="11" xfId="0" applyFont="1" applyBorder="1" applyAlignment="1" applyProtection="1">
      <alignment horizontal="center" vertical="center" shrinkToFit="1"/>
      <protection hidden="1"/>
    </xf>
    <xf numFmtId="0" fontId="5" fillId="0" borderId="30" xfId="0" applyFont="1" applyBorder="1" applyAlignment="1" applyProtection="1">
      <alignment horizontal="center" vertical="center" shrinkToFit="1"/>
      <protection hidden="1"/>
    </xf>
    <xf numFmtId="0" fontId="5" fillId="0" borderId="9" xfId="0" applyFont="1" applyBorder="1" applyAlignment="1" applyProtection="1">
      <alignment horizontal="center" vertical="center" shrinkToFit="1"/>
      <protection hidden="1"/>
    </xf>
    <xf numFmtId="176" fontId="41" fillId="0" borderId="9" xfId="0" applyNumberFormat="1" applyFont="1" applyBorder="1" applyAlignment="1" applyProtection="1">
      <alignment horizontal="center" vertical="center"/>
      <protection hidden="1"/>
    </xf>
    <xf numFmtId="0" fontId="4" fillId="0" borderId="18" xfId="0" applyFont="1" applyBorder="1" applyAlignment="1" applyProtection="1">
      <alignment horizontal="center" vertical="center" shrinkToFit="1"/>
      <protection hidden="1"/>
    </xf>
    <xf numFmtId="0" fontId="4" fillId="0" borderId="11" xfId="0" applyFont="1" applyBorder="1" applyAlignment="1" applyProtection="1">
      <alignment horizontal="center" vertical="center" shrinkToFit="1"/>
      <protection hidden="1"/>
    </xf>
    <xf numFmtId="0" fontId="4" fillId="0" borderId="21"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9"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5" fillId="0" borderId="30"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42" fillId="0" borderId="0" xfId="0" applyFont="1" applyBorder="1" applyAlignment="1" applyProtection="1">
      <alignment horizontal="right"/>
      <protection hidden="1"/>
    </xf>
    <xf numFmtId="0" fontId="7" fillId="0" borderId="19"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177" fontId="6" fillId="0" borderId="13" xfId="0" applyNumberFormat="1" applyFont="1" applyBorder="1" applyAlignment="1" applyProtection="1">
      <alignment horizontal="center" vertical="center"/>
      <protection hidden="1"/>
    </xf>
    <xf numFmtId="177" fontId="6" fillId="0" borderId="39" xfId="0" applyNumberFormat="1" applyFont="1" applyBorder="1" applyAlignment="1" applyProtection="1">
      <alignment horizontal="center" vertical="center"/>
      <protection hidden="1"/>
    </xf>
    <xf numFmtId="177" fontId="6" fillId="0" borderId="0" xfId="0" applyNumberFormat="1" applyFont="1" applyBorder="1" applyAlignment="1" applyProtection="1">
      <alignment horizontal="center" vertical="center"/>
      <protection hidden="1"/>
    </xf>
    <xf numFmtId="177" fontId="6" fillId="0" borderId="19" xfId="0" applyNumberFormat="1" applyFont="1" applyBorder="1" applyAlignment="1" applyProtection="1">
      <alignment horizontal="center" vertical="center"/>
      <protection hidden="1"/>
    </xf>
    <xf numFmtId="177" fontId="6" fillId="0" borderId="31" xfId="0" applyNumberFormat="1" applyFont="1" applyBorder="1" applyAlignment="1" applyProtection="1">
      <alignment horizontal="center" vertical="center"/>
      <protection hidden="1"/>
    </xf>
    <xf numFmtId="0" fontId="38" fillId="8" borderId="13" xfId="0" applyFont="1" applyFill="1" applyBorder="1" applyAlignment="1" applyProtection="1">
      <alignment horizontal="center" vertical="center"/>
      <protection hidden="1"/>
    </xf>
    <xf numFmtId="0" fontId="38" fillId="8" borderId="18" xfId="0" applyFont="1" applyFill="1" applyBorder="1" applyAlignment="1" applyProtection="1">
      <alignment horizontal="center" vertical="center"/>
      <protection hidden="1"/>
    </xf>
    <xf numFmtId="0" fontId="38" fillId="8" borderId="118" xfId="0" applyFont="1" applyFill="1" applyBorder="1" applyAlignment="1" applyProtection="1">
      <alignment horizontal="center" vertical="center"/>
      <protection hidden="1"/>
    </xf>
    <xf numFmtId="0" fontId="38" fillId="8" borderId="83" xfId="0" applyFont="1" applyFill="1" applyBorder="1" applyAlignment="1" applyProtection="1">
      <alignment horizontal="center" vertical="center"/>
      <protection hidden="1"/>
    </xf>
    <xf numFmtId="0" fontId="38" fillId="8" borderId="39" xfId="0" applyFont="1" applyFill="1" applyBorder="1" applyAlignment="1" applyProtection="1">
      <alignment horizontal="center" vertical="center"/>
      <protection hidden="1"/>
    </xf>
    <xf numFmtId="0" fontId="58" fillId="0" borderId="11" xfId="0" applyFont="1" applyFill="1" applyBorder="1" applyAlignment="1" applyProtection="1">
      <alignment horizontal="center" vertical="center" shrinkToFit="1"/>
      <protection hidden="1"/>
    </xf>
    <xf numFmtId="0" fontId="7" fillId="0" borderId="18" xfId="0" applyFont="1" applyBorder="1" applyAlignment="1" applyProtection="1">
      <alignment horizontal="center" vertical="center"/>
      <protection hidden="1"/>
    </xf>
    <xf numFmtId="0" fontId="7" fillId="0" borderId="13" xfId="0" applyFont="1" applyBorder="1" applyAlignment="1" applyProtection="1">
      <alignment horizontal="center" vertical="center"/>
      <protection hidden="1"/>
    </xf>
    <xf numFmtId="0" fontId="6" fillId="0" borderId="46" xfId="0" applyFont="1" applyBorder="1" applyAlignment="1" applyProtection="1">
      <alignment horizontal="center" vertical="center"/>
      <protection hidden="1"/>
    </xf>
    <xf numFmtId="0" fontId="6" fillId="0" borderId="47" xfId="0" applyFont="1" applyBorder="1" applyAlignment="1" applyProtection="1">
      <alignment horizontal="center" vertical="center"/>
      <protection hidden="1"/>
    </xf>
    <xf numFmtId="0" fontId="38" fillId="8" borderId="28" xfId="0" applyFont="1" applyFill="1" applyBorder="1" applyAlignment="1" applyProtection="1">
      <alignment horizontal="center" vertical="center"/>
      <protection hidden="1"/>
    </xf>
    <xf numFmtId="176" fontId="5" fillId="0" borderId="28" xfId="0" applyNumberFormat="1" applyFont="1" applyBorder="1" applyAlignment="1" applyProtection="1">
      <alignment horizontal="center" vertical="center"/>
      <protection hidden="1"/>
    </xf>
    <xf numFmtId="0" fontId="0" fillId="0" borderId="28" xfId="0" applyBorder="1" applyAlignment="1" applyProtection="1">
      <alignment horizontal="center" vertical="center"/>
      <protection hidden="1"/>
    </xf>
    <xf numFmtId="177" fontId="5" fillId="0" borderId="28" xfId="0" applyNumberFormat="1" applyFont="1" applyBorder="1" applyAlignment="1" applyProtection="1">
      <alignment horizontal="center" vertical="center"/>
      <protection hidden="1"/>
    </xf>
    <xf numFmtId="177" fontId="38" fillId="8" borderId="28" xfId="0" applyNumberFormat="1" applyFont="1" applyFill="1" applyBorder="1" applyAlignment="1" applyProtection="1">
      <alignment horizontal="center" vertical="center"/>
      <protection hidden="1"/>
    </xf>
    <xf numFmtId="0" fontId="38" fillId="8" borderId="28" xfId="0" applyFont="1" applyFill="1" applyBorder="1" applyAlignment="1" applyProtection="1">
      <alignment vertical="center"/>
      <protection hidden="1"/>
    </xf>
    <xf numFmtId="0" fontId="0" fillId="0" borderId="28" xfId="0" applyBorder="1" applyAlignment="1" applyProtection="1">
      <alignment vertical="center"/>
      <protection hidden="1"/>
    </xf>
    <xf numFmtId="176" fontId="5" fillId="0" borderId="41" xfId="0" applyNumberFormat="1" applyFont="1" applyBorder="1" applyAlignment="1" applyProtection="1">
      <alignment horizontal="center" vertical="center"/>
      <protection hidden="1"/>
    </xf>
    <xf numFmtId="0" fontId="0" fillId="0" borderId="41" xfId="0" applyBorder="1" applyAlignment="1" applyProtection="1">
      <alignment horizontal="center" vertical="center"/>
      <protection hidden="1"/>
    </xf>
    <xf numFmtId="176" fontId="5" fillId="0" borderId="35" xfId="0" applyNumberFormat="1" applyFont="1"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35" xfId="0" applyBorder="1" applyAlignment="1" applyProtection="1">
      <alignment vertical="center"/>
      <protection hidden="1"/>
    </xf>
    <xf numFmtId="0" fontId="0" fillId="0" borderId="41" xfId="0" applyBorder="1" applyAlignment="1" applyProtection="1">
      <alignment vertical="center"/>
      <protection hidden="1"/>
    </xf>
    <xf numFmtId="0" fontId="4" fillId="0" borderId="28" xfId="0" applyFont="1" applyBorder="1" applyAlignment="1" applyProtection="1">
      <alignment horizontal="center" vertical="center"/>
      <protection hidden="1"/>
    </xf>
    <xf numFmtId="0" fontId="5" fillId="0" borderId="35" xfId="0" applyFont="1" applyBorder="1" applyAlignment="1" applyProtection="1">
      <alignment horizontal="center" vertical="center"/>
      <protection hidden="1"/>
    </xf>
    <xf numFmtId="0" fontId="4" fillId="0" borderId="41" xfId="0" applyFont="1" applyBorder="1" applyAlignment="1" applyProtection="1">
      <alignment horizontal="center" vertical="center"/>
      <protection hidden="1"/>
    </xf>
    <xf numFmtId="0" fontId="7" fillId="0" borderId="18" xfId="0" applyFont="1" applyBorder="1" applyAlignment="1" applyProtection="1">
      <alignment horizontal="right" vertical="center" shrinkToFit="1"/>
      <protection hidden="1"/>
    </xf>
    <xf numFmtId="0" fontId="7" fillId="0" borderId="11" xfId="0" applyFont="1" applyBorder="1" applyAlignment="1" applyProtection="1">
      <alignment horizontal="right" vertical="center" shrinkToFit="1"/>
      <protection hidden="1"/>
    </xf>
    <xf numFmtId="0" fontId="6" fillId="0" borderId="11"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0" fontId="27" fillId="0" borderId="28" xfId="0" applyFont="1" applyBorder="1" applyAlignment="1" applyProtection="1">
      <alignment horizontal="center" vertical="center"/>
      <protection hidden="1"/>
    </xf>
    <xf numFmtId="0" fontId="27" fillId="0" borderId="28" xfId="0" applyFont="1" applyBorder="1" applyAlignment="1" applyProtection="1">
      <alignment vertical="center"/>
      <protection hidden="1"/>
    </xf>
    <xf numFmtId="0" fontId="31" fillId="8" borderId="13" xfId="0" applyFont="1" applyFill="1" applyBorder="1" applyAlignment="1" applyProtection="1">
      <alignment horizontal="center" vertical="center"/>
      <protection hidden="1"/>
    </xf>
    <xf numFmtId="0" fontId="31" fillId="8" borderId="18" xfId="0" applyFont="1" applyFill="1" applyBorder="1" applyAlignment="1" applyProtection="1">
      <alignment horizontal="center" vertical="center"/>
      <protection hidden="1"/>
    </xf>
    <xf numFmtId="0" fontId="45" fillId="8" borderId="18" xfId="0" applyFont="1" applyFill="1" applyBorder="1" applyAlignment="1" applyProtection="1">
      <alignment vertical="center"/>
      <protection hidden="1"/>
    </xf>
    <xf numFmtId="0" fontId="45" fillId="8" borderId="39" xfId="0" applyFont="1" applyFill="1" applyBorder="1" applyAlignment="1" applyProtection="1">
      <alignment vertical="center"/>
      <protection hidden="1"/>
    </xf>
    <xf numFmtId="0" fontId="6" fillId="0" borderId="47" xfId="0" applyFont="1" applyFill="1" applyBorder="1" applyAlignment="1" applyProtection="1">
      <alignment horizontal="center" vertical="center"/>
      <protection hidden="1"/>
    </xf>
    <xf numFmtId="0" fontId="6" fillId="0" borderId="48" xfId="0" applyFont="1" applyFill="1" applyBorder="1" applyAlignment="1" applyProtection="1">
      <alignment horizontal="center" vertical="center"/>
      <protection hidden="1"/>
    </xf>
    <xf numFmtId="179" fontId="6" fillId="0" borderId="47" xfId="0" applyNumberFormat="1" applyFont="1" applyBorder="1" applyAlignment="1" applyProtection="1">
      <alignment horizontal="center" vertical="center"/>
      <protection hidden="1"/>
    </xf>
    <xf numFmtId="0" fontId="6" fillId="0" borderId="18" xfId="0" applyFont="1" applyBorder="1" applyAlignment="1" applyProtection="1">
      <alignment vertical="center" shrinkToFit="1"/>
      <protection hidden="1"/>
    </xf>
    <xf numFmtId="0" fontId="6" fillId="0" borderId="39" xfId="0" applyFont="1" applyBorder="1" applyAlignment="1" applyProtection="1">
      <alignment vertical="center" shrinkToFit="1"/>
      <protection hidden="1"/>
    </xf>
    <xf numFmtId="179" fontId="6" fillId="0" borderId="46" xfId="0" applyNumberFormat="1" applyFont="1" applyBorder="1" applyAlignment="1" applyProtection="1">
      <alignment horizontal="center" vertical="center"/>
      <protection hidden="1"/>
    </xf>
    <xf numFmtId="0" fontId="0" fillId="0" borderId="18" xfId="0" applyBorder="1" applyAlignment="1" applyProtection="1">
      <alignment horizontal="right" vertical="center"/>
      <protection hidden="1"/>
    </xf>
    <xf numFmtId="0" fontId="0" fillId="0" borderId="18" xfId="0" applyBorder="1" applyAlignment="1" applyProtection="1">
      <alignment vertical="center"/>
      <protection hidden="1"/>
    </xf>
    <xf numFmtId="0" fontId="0" fillId="0" borderId="39" xfId="0" applyBorder="1" applyAlignment="1" applyProtection="1">
      <alignment vertical="center"/>
      <protection hidden="1"/>
    </xf>
    <xf numFmtId="0" fontId="5" fillId="0" borderId="28" xfId="0" applyFont="1" applyBorder="1" applyAlignment="1" applyProtection="1">
      <alignment horizontal="center" vertical="center"/>
      <protection hidden="1"/>
    </xf>
    <xf numFmtId="0" fontId="6" fillId="0" borderId="9" xfId="0" applyFont="1" applyBorder="1" applyAlignment="1" applyProtection="1">
      <alignment vertical="center"/>
      <protection hidden="1"/>
    </xf>
    <xf numFmtId="0" fontId="0" fillId="0" borderId="9" xfId="0" applyBorder="1" applyAlignment="1">
      <alignment vertical="center"/>
    </xf>
    <xf numFmtId="0" fontId="0" fillId="0" borderId="34" xfId="0" applyBorder="1" applyAlignment="1">
      <alignment vertical="center"/>
    </xf>
    <xf numFmtId="0" fontId="31" fillId="8" borderId="21" xfId="0" applyFont="1" applyFill="1" applyBorder="1" applyAlignment="1" applyProtection="1">
      <alignment horizontal="center" vertical="center"/>
      <protection hidden="1"/>
    </xf>
    <xf numFmtId="0" fontId="43" fillId="8" borderId="11" xfId="0" applyFont="1" applyFill="1" applyBorder="1" applyAlignment="1" applyProtection="1">
      <alignment horizontal="center" vertical="center"/>
      <protection hidden="1"/>
    </xf>
    <xf numFmtId="0" fontId="43" fillId="8" borderId="40" xfId="0" applyFont="1" applyFill="1" applyBorder="1" applyAlignment="1" applyProtection="1">
      <alignment horizontal="center" vertical="center"/>
      <protection hidden="1"/>
    </xf>
    <xf numFmtId="0" fontId="7" fillId="0" borderId="13" xfId="0" applyFont="1" applyBorder="1" applyAlignment="1" applyProtection="1">
      <alignment horizontal="right" vertical="center"/>
      <protection hidden="1"/>
    </xf>
    <xf numFmtId="0" fontId="7" fillId="0" borderId="18" xfId="0" applyFont="1" applyBorder="1" applyAlignment="1" applyProtection="1">
      <alignment horizontal="right" vertical="center"/>
      <protection hidden="1"/>
    </xf>
    <xf numFmtId="0" fontId="6" fillId="0" borderId="18" xfId="0" applyFont="1" applyBorder="1" applyAlignment="1" applyProtection="1">
      <alignment vertical="center"/>
      <protection hidden="1"/>
    </xf>
    <xf numFmtId="0" fontId="6" fillId="0" borderId="39" xfId="0" applyFont="1" applyBorder="1" applyAlignment="1" applyProtection="1">
      <alignment vertical="center"/>
      <protection hidden="1"/>
    </xf>
    <xf numFmtId="0" fontId="7" fillId="0" borderId="18" xfId="0" applyFont="1" applyBorder="1" applyAlignment="1" applyProtection="1">
      <alignment horizontal="left" vertical="center"/>
      <protection hidden="1"/>
    </xf>
    <xf numFmtId="0" fontId="0" fillId="0" borderId="18" xfId="0" applyBorder="1" applyAlignment="1">
      <alignment vertical="center"/>
    </xf>
    <xf numFmtId="0" fontId="7" fillId="0" borderId="9" xfId="0" applyFont="1" applyBorder="1" applyAlignment="1" applyProtection="1">
      <alignment horizontal="left" vertical="center"/>
      <protection hidden="1"/>
    </xf>
    <xf numFmtId="0" fontId="0" fillId="0" borderId="39" xfId="0" applyBorder="1" applyAlignment="1">
      <alignment vertical="center"/>
    </xf>
    <xf numFmtId="176" fontId="6" fillId="0" borderId="18" xfId="0" applyNumberFormat="1" applyFont="1" applyBorder="1" applyAlignment="1" applyProtection="1">
      <alignment vertical="center"/>
      <protection hidden="1"/>
    </xf>
    <xf numFmtId="41" fontId="6" fillId="0" borderId="18" xfId="0" applyNumberFormat="1" applyFont="1" applyBorder="1" applyAlignment="1" applyProtection="1">
      <alignment vertical="center"/>
      <protection hidden="1"/>
    </xf>
    <xf numFmtId="179" fontId="6" fillId="0" borderId="48" xfId="0" applyNumberFormat="1" applyFont="1" applyBorder="1" applyAlignment="1" applyProtection="1">
      <alignment horizontal="center" vertical="center"/>
      <protection hidden="1"/>
    </xf>
    <xf numFmtId="0" fontId="7" fillId="12" borderId="30" xfId="0" applyFont="1" applyFill="1" applyBorder="1" applyAlignment="1" applyProtection="1">
      <alignment horizontal="center" vertical="center" shrinkToFit="1"/>
      <protection hidden="1"/>
    </xf>
    <xf numFmtId="0" fontId="6" fillId="12" borderId="9" xfId="0" applyFont="1" applyFill="1" applyBorder="1" applyAlignment="1" applyProtection="1">
      <alignment horizontal="center" vertical="center" shrinkToFit="1"/>
      <protection hidden="1"/>
    </xf>
    <xf numFmtId="0" fontId="11" fillId="12" borderId="83" xfId="0" applyFont="1" applyFill="1" applyBorder="1" applyAlignment="1">
      <alignment horizontal="center" vertical="center"/>
    </xf>
    <xf numFmtId="0" fontId="11" fillId="12" borderId="39" xfId="0" applyFont="1" applyFill="1" applyBorder="1" applyAlignment="1">
      <alignment horizontal="center" vertical="center"/>
    </xf>
    <xf numFmtId="0" fontId="38" fillId="12" borderId="11" xfId="0" applyFont="1" applyFill="1" applyBorder="1" applyAlignment="1" applyProtection="1">
      <alignment horizontal="center" vertical="center"/>
      <protection hidden="1"/>
    </xf>
    <xf numFmtId="0" fontId="7" fillId="0" borderId="13" xfId="0" applyFont="1" applyBorder="1" applyAlignment="1" applyProtection="1">
      <alignment horizontal="center" vertical="center" shrinkToFit="1"/>
      <protection hidden="1"/>
    </xf>
    <xf numFmtId="0" fontId="7" fillId="0" borderId="18" xfId="0" applyFont="1" applyBorder="1" applyAlignment="1" applyProtection="1">
      <alignment horizontal="center" vertical="center" shrinkToFit="1"/>
      <protection hidden="1"/>
    </xf>
    <xf numFmtId="0" fontId="7" fillId="0" borderId="30" xfId="0"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7" fillId="0" borderId="34" xfId="0" applyFont="1" applyBorder="1" applyAlignment="1" applyProtection="1">
      <alignment horizontal="center" vertical="center"/>
      <protection hidden="1"/>
    </xf>
    <xf numFmtId="178" fontId="16" fillId="2" borderId="0" xfId="0" applyNumberFormat="1" applyFont="1" applyFill="1" applyBorder="1" applyAlignment="1">
      <alignment horizontal="center" vertical="center"/>
    </xf>
    <xf numFmtId="180" fontId="14" fillId="2" borderId="0" xfId="0" applyNumberFormat="1" applyFont="1" applyFill="1" applyBorder="1">
      <alignment vertical="center"/>
    </xf>
    <xf numFmtId="0" fontId="14" fillId="2" borderId="0" xfId="0" applyFont="1" applyFill="1" applyBorder="1">
      <alignment vertical="center"/>
    </xf>
    <xf numFmtId="0" fontId="15" fillId="2" borderId="4" xfId="0" applyFont="1" applyFill="1" applyBorder="1" applyAlignment="1">
      <alignment vertical="center"/>
    </xf>
    <xf numFmtId="0" fontId="16" fillId="2" borderId="0" xfId="0" applyFont="1" applyFill="1" applyBorder="1" applyAlignment="1">
      <alignment vertical="center"/>
    </xf>
    <xf numFmtId="181" fontId="16" fillId="2" borderId="0" xfId="0" applyNumberFormat="1" applyFont="1" applyFill="1" applyBorder="1" applyAlignment="1">
      <alignment vertical="center"/>
    </xf>
    <xf numFmtId="0" fontId="15" fillId="2" borderId="8" xfId="0" applyFont="1" applyFill="1" applyBorder="1" applyAlignment="1">
      <alignment vertical="center"/>
    </xf>
    <xf numFmtId="0" fontId="16" fillId="2" borderId="6" xfId="0" applyFont="1" applyFill="1" applyBorder="1" applyAlignment="1">
      <alignment vertical="center"/>
    </xf>
    <xf numFmtId="0" fontId="12" fillId="2" borderId="6" xfId="0" applyFont="1" applyFill="1" applyBorder="1">
      <alignment vertical="center"/>
    </xf>
    <xf numFmtId="0" fontId="14" fillId="2" borderId="6" xfId="0" applyFont="1" applyFill="1" applyBorder="1">
      <alignment vertical="center"/>
    </xf>
    <xf numFmtId="0" fontId="12" fillId="2" borderId="0" xfId="0" applyFont="1" applyFill="1" applyBorder="1">
      <alignment vertical="center"/>
    </xf>
    <xf numFmtId="177" fontId="14" fillId="2" borderId="0" xfId="0" applyNumberFormat="1" applyFont="1" applyFill="1" applyBorder="1" applyAlignment="1">
      <alignment horizontal="right" vertical="center"/>
    </xf>
    <xf numFmtId="0" fontId="7" fillId="6" borderId="121" xfId="0" applyFont="1" applyFill="1" applyBorder="1" applyAlignment="1" applyProtection="1">
      <alignment horizontal="center" vertical="center"/>
      <protection hidden="1"/>
    </xf>
    <xf numFmtId="0" fontId="6" fillId="6" borderId="121" xfId="0" applyFont="1" applyFill="1" applyBorder="1" applyAlignment="1" applyProtection="1">
      <alignment horizontal="center" vertical="center"/>
      <protection hidden="1"/>
    </xf>
    <xf numFmtId="0" fontId="6" fillId="0" borderId="121" xfId="0" applyFont="1" applyBorder="1" applyAlignment="1">
      <alignment horizontal="center" vertical="center"/>
    </xf>
    <xf numFmtId="179" fontId="6" fillId="0" borderId="121" xfId="0" applyNumberFormat="1" applyFont="1" applyFill="1" applyBorder="1" applyAlignment="1">
      <alignment horizontal="center" vertical="center"/>
    </xf>
    <xf numFmtId="0" fontId="4" fillId="0" borderId="53"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9" fillId="0" borderId="125" xfId="0" applyFont="1" applyBorder="1" applyAlignment="1">
      <alignment horizontal="center" vertical="center"/>
    </xf>
    <xf numFmtId="0" fontId="9" fillId="0" borderId="75" xfId="0" applyFont="1" applyBorder="1" applyAlignment="1">
      <alignment horizontal="center" vertical="center"/>
    </xf>
    <xf numFmtId="0" fontId="4" fillId="0" borderId="76"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9" xfId="0" applyFont="1" applyFill="1" applyBorder="1">
      <alignment vertical="center"/>
    </xf>
    <xf numFmtId="0" fontId="12" fillId="2" borderId="53"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3" xfId="0" applyFont="1" applyFill="1" applyBorder="1">
      <alignment vertical="center"/>
    </xf>
    <xf numFmtId="0" fontId="12" fillId="2" borderId="2"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left" vertical="center"/>
    </xf>
    <xf numFmtId="0" fontId="14" fillId="2" borderId="2" xfId="0" applyFont="1" applyFill="1" applyBorder="1" applyAlignment="1">
      <alignment horizontal="left"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5" xfId="0" applyFont="1" applyFill="1" applyBorder="1" applyAlignment="1">
      <alignment horizontal="center" vertical="center"/>
    </xf>
    <xf numFmtId="0" fontId="12" fillId="2" borderId="4" xfId="0" applyFont="1" applyFill="1" applyBorder="1">
      <alignment vertical="center"/>
    </xf>
    <xf numFmtId="0" fontId="12" fillId="2" borderId="1" xfId="0" applyFont="1" applyFill="1" applyBorder="1" applyAlignment="1">
      <alignment horizontal="right" vertical="center"/>
    </xf>
    <xf numFmtId="0" fontId="12" fillId="2" borderId="2" xfId="0" applyFont="1" applyFill="1" applyBorder="1" applyAlignment="1">
      <alignment horizontal="right" vertical="center"/>
    </xf>
    <xf numFmtId="0" fontId="12" fillId="2" borderId="4" xfId="0" applyFont="1" applyFill="1" applyBorder="1" applyAlignment="1">
      <alignment horizontal="right" vertical="center"/>
    </xf>
    <xf numFmtId="0" fontId="12" fillId="2" borderId="0" xfId="0" applyFont="1" applyFill="1" applyBorder="1" applyAlignment="1">
      <alignment horizontal="right" vertical="center"/>
    </xf>
    <xf numFmtId="0" fontId="12" fillId="2" borderId="64" xfId="0" applyFont="1" applyFill="1" applyBorder="1" applyAlignment="1">
      <alignment horizontal="right" vertical="center"/>
    </xf>
    <xf numFmtId="0" fontId="12" fillId="2" borderId="65" xfId="0" applyFont="1" applyFill="1" applyBorder="1" applyAlignment="1">
      <alignment horizontal="right" vertical="center"/>
    </xf>
    <xf numFmtId="0" fontId="4"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31" xfId="0" applyFill="1" applyBorder="1" applyAlignment="1">
      <alignment horizontal="left" vertical="center"/>
    </xf>
    <xf numFmtId="0" fontId="12" fillId="2" borderId="73" xfId="0" applyFont="1" applyFill="1" applyBorder="1" applyAlignment="1">
      <alignment horizontal="right" vertical="center"/>
    </xf>
    <xf numFmtId="0" fontId="12" fillId="2" borderId="71" xfId="0" applyFont="1" applyFill="1" applyBorder="1" applyAlignment="1">
      <alignment horizontal="right" vertical="center"/>
    </xf>
    <xf numFmtId="0" fontId="4" fillId="2" borderId="65" xfId="0" applyFont="1" applyFill="1" applyBorder="1" applyAlignment="1">
      <alignment horizontal="left" vertical="center"/>
    </xf>
    <xf numFmtId="0" fontId="0" fillId="2" borderId="65" xfId="0" applyFill="1" applyBorder="1" applyAlignment="1">
      <alignment horizontal="left" vertical="center"/>
    </xf>
    <xf numFmtId="0" fontId="0" fillId="2" borderId="66" xfId="0" applyFill="1" applyBorder="1" applyAlignment="1">
      <alignment horizontal="left" vertical="center"/>
    </xf>
    <xf numFmtId="0" fontId="4" fillId="2" borderId="2" xfId="0" applyFont="1" applyFill="1" applyBorder="1" applyAlignment="1">
      <alignment horizontal="left" vertical="center"/>
    </xf>
    <xf numFmtId="0" fontId="0" fillId="2" borderId="2" xfId="0" applyFill="1" applyBorder="1" applyAlignment="1">
      <alignment horizontal="left" vertical="center"/>
    </xf>
    <xf numFmtId="0" fontId="0" fillId="2" borderId="55" xfId="0" applyFill="1" applyBorder="1" applyAlignment="1">
      <alignment horizontal="left" vertical="center"/>
    </xf>
    <xf numFmtId="0" fontId="14" fillId="2" borderId="65" xfId="0" applyFont="1" applyFill="1" applyBorder="1" applyAlignment="1">
      <alignment horizontal="center" vertical="center"/>
    </xf>
    <xf numFmtId="0" fontId="14" fillId="2" borderId="71" xfId="0" applyFont="1" applyFill="1" applyBorder="1" applyAlignment="1">
      <alignment horizontal="center" vertical="center"/>
    </xf>
    <xf numFmtId="0" fontId="4" fillId="2" borderId="71" xfId="0" applyFont="1" applyFill="1" applyBorder="1" applyAlignment="1">
      <alignment horizontal="left" vertical="center"/>
    </xf>
    <xf numFmtId="0" fontId="0" fillId="2" borderId="71" xfId="0" applyFill="1" applyBorder="1" applyAlignment="1">
      <alignment horizontal="left" vertical="center"/>
    </xf>
    <xf numFmtId="0" fontId="0" fillId="2" borderId="74" xfId="0" applyFill="1" applyBorder="1" applyAlignment="1">
      <alignment horizontal="left" vertical="center"/>
    </xf>
    <xf numFmtId="0" fontId="14" fillId="2" borderId="70" xfId="0" applyFont="1" applyFill="1" applyBorder="1" applyAlignment="1">
      <alignment horizontal="center" vertical="center"/>
    </xf>
    <xf numFmtId="0" fontId="14" fillId="2" borderId="72" xfId="0" applyFont="1" applyFill="1" applyBorder="1" applyAlignment="1">
      <alignment horizontal="center" vertical="center"/>
    </xf>
    <xf numFmtId="0" fontId="14" fillId="9" borderId="57" xfId="0" applyFont="1" applyFill="1" applyBorder="1" applyAlignment="1">
      <alignment horizontal="center" vertical="center"/>
    </xf>
    <xf numFmtId="0" fontId="14" fillId="9" borderId="58" xfId="0" applyFont="1" applyFill="1" applyBorder="1" applyAlignment="1">
      <alignment horizontal="center" vertical="center"/>
    </xf>
    <xf numFmtId="0" fontId="14" fillId="2" borderId="28" xfId="0" applyNumberFormat="1" applyFont="1" applyFill="1" applyBorder="1" applyAlignment="1">
      <alignment horizontal="center" vertical="center" shrinkToFit="1"/>
    </xf>
    <xf numFmtId="0" fontId="14" fillId="2" borderId="38" xfId="0" applyNumberFormat="1" applyFont="1" applyFill="1" applyBorder="1" applyAlignment="1">
      <alignment horizontal="center" vertical="center" shrinkToFit="1"/>
    </xf>
    <xf numFmtId="0" fontId="14" fillId="2" borderId="9" xfId="0" applyFont="1" applyFill="1" applyBorder="1" applyAlignment="1">
      <alignment horizontal="center" vertical="center"/>
    </xf>
    <xf numFmtId="0" fontId="14" fillId="3" borderId="57" xfId="0" applyFont="1" applyFill="1" applyBorder="1" applyAlignment="1">
      <alignment horizontal="center" vertical="center"/>
    </xf>
    <xf numFmtId="0" fontId="4" fillId="11" borderId="53" xfId="0" applyFont="1" applyFill="1" applyBorder="1" applyAlignment="1">
      <alignment horizontal="center" vertical="center" shrinkToFit="1"/>
    </xf>
    <xf numFmtId="0" fontId="4" fillId="11" borderId="36" xfId="0" applyFont="1" applyFill="1" applyBorder="1" applyAlignment="1">
      <alignment horizontal="center" vertical="center" shrinkToFit="1"/>
    </xf>
    <xf numFmtId="0" fontId="4" fillId="11" borderId="37" xfId="0" applyFont="1" applyFill="1" applyBorder="1" applyAlignment="1">
      <alignment horizontal="center" vertical="center" shrinkToFit="1"/>
    </xf>
    <xf numFmtId="0" fontId="12" fillId="2" borderId="76" xfId="0" applyFont="1" applyFill="1" applyBorder="1" applyAlignment="1">
      <alignment horizontal="center" vertical="center" shrinkToFit="1"/>
    </xf>
    <xf numFmtId="0" fontId="12" fillId="2" borderId="62" xfId="0" applyFont="1" applyFill="1" applyBorder="1" applyAlignment="1">
      <alignment horizontal="center" vertical="center" shrinkToFit="1"/>
    </xf>
    <xf numFmtId="0" fontId="12" fillId="2" borderId="77" xfId="0" applyFont="1" applyFill="1" applyBorder="1" applyAlignment="1">
      <alignment horizontal="center" vertical="center" shrinkToFit="1"/>
    </xf>
    <xf numFmtId="0" fontId="12" fillId="2" borderId="28" xfId="0" applyFont="1" applyFill="1" applyBorder="1" applyAlignment="1">
      <alignment horizontal="center" vertical="center" shrinkToFit="1"/>
    </xf>
    <xf numFmtId="0" fontId="14" fillId="2" borderId="28" xfId="0" applyNumberFormat="1" applyFont="1" applyFill="1" applyBorder="1" applyAlignment="1">
      <alignment horizontal="center" vertical="center"/>
    </xf>
    <xf numFmtId="0" fontId="12" fillId="3" borderId="8" xfId="0" applyFont="1" applyFill="1" applyBorder="1" applyAlignment="1">
      <alignment horizontal="center" vertical="center"/>
    </xf>
    <xf numFmtId="0" fontId="12" fillId="3" borderId="6" xfId="0" applyFont="1" applyFill="1" applyBorder="1" applyAlignment="1">
      <alignment horizontal="center" vertical="center"/>
    </xf>
    <xf numFmtId="0" fontId="14" fillId="3" borderId="56" xfId="0" applyFont="1" applyFill="1" applyBorder="1" applyAlignment="1">
      <alignment horizontal="center" vertical="center"/>
    </xf>
    <xf numFmtId="0" fontId="14" fillId="2" borderId="29" xfId="0" applyFont="1" applyFill="1" applyBorder="1" applyAlignment="1">
      <alignment horizontal="center" vertical="center"/>
    </xf>
    <xf numFmtId="0" fontId="12" fillId="2" borderId="4" xfId="0" applyFont="1" applyFill="1" applyBorder="1" applyAlignment="1">
      <alignment horizontal="center" vertical="center"/>
    </xf>
    <xf numFmtId="0" fontId="14" fillId="2" borderId="0" xfId="0" applyFont="1" applyFill="1" applyBorder="1" applyAlignment="1">
      <alignment horizontal="right" vertical="center"/>
    </xf>
    <xf numFmtId="182" fontId="14" fillId="2" borderId="0" xfId="0" applyNumberFormat="1" applyFont="1" applyFill="1" applyBorder="1">
      <alignment vertical="center"/>
    </xf>
    <xf numFmtId="0" fontId="18" fillId="2" borderId="0"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0" xfId="0" applyFont="1" applyFill="1" applyBorder="1" applyAlignment="1">
      <alignment horizontal="center" vertical="center"/>
    </xf>
    <xf numFmtId="177" fontId="14" fillId="2" borderId="0" xfId="0" applyNumberFormat="1" applyFont="1" applyFill="1" applyBorder="1">
      <alignment vertical="center"/>
    </xf>
    <xf numFmtId="178" fontId="14" fillId="2" borderId="0" xfId="0" applyNumberFormat="1" applyFont="1" applyFill="1" applyBorder="1">
      <alignment vertical="center"/>
    </xf>
    <xf numFmtId="0" fontId="4" fillId="11" borderId="53" xfId="0" applyFont="1" applyFill="1" applyBorder="1" applyAlignment="1">
      <alignment horizontal="center" vertical="center"/>
    </xf>
    <xf numFmtId="0" fontId="4" fillId="11" borderId="36" xfId="0" applyFont="1" applyFill="1" applyBorder="1" applyAlignment="1">
      <alignment horizontal="center" vertical="center"/>
    </xf>
    <xf numFmtId="0" fontId="4" fillId="11" borderId="37" xfId="0" applyFont="1" applyFill="1" applyBorder="1" applyAlignment="1">
      <alignment horizontal="center" vertical="center"/>
    </xf>
    <xf numFmtId="0" fontId="14" fillId="2" borderId="10" xfId="0" applyFont="1" applyFill="1" applyBorder="1" applyAlignment="1">
      <alignment vertical="center"/>
    </xf>
    <xf numFmtId="0" fontId="14" fillId="2" borderId="40" xfId="0" applyFont="1" applyFill="1" applyBorder="1" applyAlignment="1">
      <alignment vertical="center"/>
    </xf>
    <xf numFmtId="176" fontId="14" fillId="2" borderId="14" xfId="0" applyNumberFormat="1" applyFont="1" applyFill="1" applyBorder="1" applyAlignment="1">
      <alignment horizontal="center" vertical="center"/>
    </xf>
    <xf numFmtId="0" fontId="14" fillId="2" borderId="59" xfId="0" applyFont="1" applyFill="1" applyBorder="1" applyAlignment="1">
      <alignment horizontal="center" vertical="center"/>
    </xf>
    <xf numFmtId="0" fontId="14" fillId="2" borderId="14" xfId="0" applyFont="1" applyFill="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4" fillId="2" borderId="68" xfId="0" applyNumberFormat="1" applyFont="1" applyFill="1" applyBorder="1" applyAlignment="1">
      <alignment horizontal="center" vertical="center" shrinkToFit="1"/>
    </xf>
    <xf numFmtId="0" fontId="12" fillId="2" borderId="33" xfId="0" applyFont="1" applyFill="1" applyBorder="1" applyAlignment="1">
      <alignment horizontal="right" vertical="center"/>
    </xf>
    <xf numFmtId="0" fontId="12" fillId="2" borderId="9" xfId="0" applyFont="1" applyFill="1" applyBorder="1" applyAlignment="1">
      <alignment horizontal="right" vertical="center"/>
    </xf>
    <xf numFmtId="0" fontId="14" fillId="3" borderId="58" xfId="0" applyFont="1" applyFill="1" applyBorder="1" applyAlignment="1">
      <alignment horizontal="center" vertical="center"/>
    </xf>
    <xf numFmtId="178" fontId="12" fillId="2" borderId="0" xfId="0" applyNumberFormat="1" applyFont="1" applyFill="1" applyBorder="1" applyAlignment="1">
      <alignment horizontal="left" vertical="center" shrinkToFit="1"/>
    </xf>
    <xf numFmtId="0" fontId="12" fillId="2" borderId="16" xfId="0" applyFont="1" applyFill="1" applyBorder="1" applyAlignment="1">
      <alignment vertical="center" shrinkToFit="1"/>
    </xf>
    <xf numFmtId="0" fontId="12" fillId="2" borderId="18" xfId="0" applyFont="1" applyFill="1" applyBorder="1" applyAlignment="1">
      <alignment vertical="center" shrinkToFit="1"/>
    </xf>
    <xf numFmtId="0" fontId="12" fillId="2" borderId="4" xfId="0" applyFont="1" applyFill="1" applyBorder="1" applyAlignment="1">
      <alignment vertical="center" shrinkToFit="1"/>
    </xf>
    <xf numFmtId="0" fontId="14" fillId="2" borderId="0" xfId="0" applyFont="1" applyFill="1" applyBorder="1" applyAlignment="1">
      <alignment vertical="center" shrinkToFit="1"/>
    </xf>
    <xf numFmtId="0" fontId="14" fillId="2" borderId="4" xfId="0" applyFont="1" applyFill="1" applyBorder="1" applyAlignment="1">
      <alignment vertical="center" shrinkToFit="1"/>
    </xf>
    <xf numFmtId="0" fontId="12" fillId="7" borderId="16" xfId="0" applyFont="1" applyFill="1" applyBorder="1" applyAlignment="1">
      <alignment horizontal="center" vertical="center" shrinkToFit="1"/>
    </xf>
    <xf numFmtId="0" fontId="14" fillId="7" borderId="18" xfId="0" applyFont="1" applyFill="1" applyBorder="1" applyAlignment="1">
      <alignment horizontal="center" vertical="center" shrinkToFit="1"/>
    </xf>
    <xf numFmtId="0" fontId="14" fillId="7" borderId="39" xfId="0" applyFont="1" applyFill="1" applyBorder="1" applyAlignment="1">
      <alignment horizontal="center" vertical="center" shrinkToFit="1"/>
    </xf>
    <xf numFmtId="0" fontId="14" fillId="2" borderId="33" xfId="0" applyFont="1" applyFill="1" applyBorder="1" applyAlignment="1">
      <alignment horizontal="left" vertical="center" shrinkToFit="1"/>
    </xf>
    <xf numFmtId="0" fontId="14" fillId="2" borderId="9" xfId="0" applyFont="1" applyFill="1" applyBorder="1" applyAlignment="1">
      <alignment horizontal="left" vertical="center" shrinkToFit="1"/>
    </xf>
    <xf numFmtId="178" fontId="12" fillId="9" borderId="0" xfId="0" applyNumberFormat="1" applyFont="1" applyFill="1" applyBorder="1" applyAlignment="1">
      <alignment horizontal="left" vertical="center" shrinkToFit="1"/>
    </xf>
    <xf numFmtId="0" fontId="5" fillId="11" borderId="36" xfId="0" applyFont="1" applyFill="1" applyBorder="1" applyAlignment="1">
      <alignment horizontal="center" vertical="center"/>
    </xf>
    <xf numFmtId="0" fontId="5" fillId="11" borderId="37" xfId="0" applyFont="1" applyFill="1" applyBorder="1" applyAlignment="1">
      <alignment horizontal="center" vertical="center"/>
    </xf>
    <xf numFmtId="0" fontId="12" fillId="2" borderId="2" xfId="0" applyFont="1" applyFill="1" applyBorder="1" applyAlignment="1">
      <alignment vertical="center"/>
    </xf>
    <xf numFmtId="0" fontId="14" fillId="2" borderId="2" xfId="0" applyFont="1" applyFill="1" applyBorder="1" applyAlignment="1">
      <alignment vertical="center"/>
    </xf>
    <xf numFmtId="0" fontId="16" fillId="2" borderId="0" xfId="0" applyFont="1" applyFill="1" applyBorder="1">
      <alignment vertical="center"/>
    </xf>
    <xf numFmtId="0" fontId="16" fillId="2" borderId="5" xfId="0" applyFont="1" applyFill="1" applyBorder="1">
      <alignment vertical="center"/>
    </xf>
    <xf numFmtId="0" fontId="14" fillId="2" borderId="7" xfId="0" applyFont="1" applyFill="1" applyBorder="1">
      <alignment vertical="center"/>
    </xf>
    <xf numFmtId="0" fontId="14" fillId="2" borderId="5" xfId="0" applyFont="1" applyFill="1" applyBorder="1">
      <alignment vertical="center"/>
    </xf>
    <xf numFmtId="0" fontId="18" fillId="2" borderId="5" xfId="0" applyFont="1" applyFill="1" applyBorder="1" applyAlignment="1">
      <alignment horizontal="center" vertical="center"/>
    </xf>
    <xf numFmtId="0" fontId="14" fillId="2" borderId="4" xfId="0" applyFont="1" applyFill="1" applyBorder="1" applyAlignment="1">
      <alignment vertical="center"/>
    </xf>
    <xf numFmtId="0" fontId="14" fillId="2" borderId="31" xfId="0" applyFont="1" applyFill="1" applyBorder="1" applyAlignment="1">
      <alignment vertical="center"/>
    </xf>
    <xf numFmtId="0" fontId="4" fillId="2" borderId="9" xfId="0" applyFont="1" applyFill="1" applyBorder="1" applyAlignment="1">
      <alignment horizontal="left" vertical="center"/>
    </xf>
    <xf numFmtId="0" fontId="0" fillId="2" borderId="9" xfId="0" applyFill="1" applyBorder="1" applyAlignment="1">
      <alignment horizontal="left" vertical="center"/>
    </xf>
    <xf numFmtId="0" fontId="0" fillId="2" borderId="34" xfId="0" applyFill="1" applyBorder="1" applyAlignment="1">
      <alignment horizontal="left" vertical="center"/>
    </xf>
    <xf numFmtId="0" fontId="14" fillId="2" borderId="69" xfId="0" applyNumberFormat="1" applyFont="1" applyFill="1" applyBorder="1" applyAlignment="1">
      <alignment horizontal="center" vertical="center" shrinkToFit="1"/>
    </xf>
    <xf numFmtId="0" fontId="4" fillId="11" borderId="1" xfId="0" applyFont="1" applyFill="1" applyBorder="1" applyAlignment="1">
      <alignment horizontal="center" vertical="center" shrinkToFit="1"/>
    </xf>
    <xf numFmtId="0" fontId="5" fillId="11" borderId="2" xfId="0" applyFont="1" applyFill="1" applyBorder="1" applyAlignment="1">
      <alignment horizontal="center" vertical="center" shrinkToFit="1"/>
    </xf>
    <xf numFmtId="0" fontId="5" fillId="11" borderId="3" xfId="0" applyFont="1" applyFill="1" applyBorder="1" applyAlignment="1">
      <alignment horizontal="center" vertical="center" shrinkToFit="1"/>
    </xf>
    <xf numFmtId="0" fontId="12" fillId="7" borderId="8" xfId="0" applyFont="1" applyFill="1" applyBorder="1" applyAlignment="1">
      <alignment horizontal="center" vertical="center" shrinkToFit="1"/>
    </xf>
    <xf numFmtId="0" fontId="14" fillId="7" borderId="6" xfId="0" applyFont="1" applyFill="1" applyBorder="1" applyAlignment="1">
      <alignment horizontal="center" vertical="center" shrinkToFit="1"/>
    </xf>
    <xf numFmtId="0" fontId="12" fillId="2" borderId="16" xfId="0" applyFont="1" applyFill="1" applyBorder="1" applyAlignment="1">
      <alignment vertical="center"/>
    </xf>
    <xf numFmtId="0" fontId="12" fillId="2" borderId="39" xfId="0" applyFont="1" applyFill="1" applyBorder="1" applyAlignment="1">
      <alignment vertical="center"/>
    </xf>
    <xf numFmtId="0" fontId="12" fillId="2" borderId="54"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60" xfId="0" applyFont="1" applyFill="1" applyBorder="1" applyAlignment="1">
      <alignment horizontal="center" vertical="center"/>
    </xf>
    <xf numFmtId="0" fontId="14" fillId="2" borderId="8" xfId="0" applyFont="1" applyFill="1" applyBorder="1" applyAlignment="1">
      <alignment vertical="center"/>
    </xf>
    <xf numFmtId="0" fontId="14" fillId="2" borderId="32" xfId="0" applyFont="1" applyFill="1" applyBorder="1" applyAlignment="1">
      <alignment vertical="center"/>
    </xf>
    <xf numFmtId="0" fontId="12" fillId="9" borderId="53" xfId="0" applyFont="1" applyFill="1" applyBorder="1" applyAlignment="1">
      <alignment horizontal="center" vertical="center" shrinkToFit="1"/>
    </xf>
    <xf numFmtId="0" fontId="12" fillId="9" borderId="36" xfId="0" applyFont="1" applyFill="1" applyBorder="1" applyAlignment="1">
      <alignment horizontal="center" vertical="center" shrinkToFit="1"/>
    </xf>
    <xf numFmtId="0" fontId="12" fillId="7" borderId="4" xfId="0" applyFont="1" applyFill="1" applyBorder="1" applyAlignment="1">
      <alignment horizontal="center" vertical="center" shrinkToFit="1"/>
    </xf>
    <xf numFmtId="0" fontId="14" fillId="7" borderId="0" xfId="0" applyFont="1" applyFill="1" applyBorder="1" applyAlignment="1">
      <alignment horizontal="center" vertical="center" shrinkToFit="1"/>
    </xf>
    <xf numFmtId="179" fontId="12" fillId="3" borderId="13" xfId="0" applyNumberFormat="1" applyFont="1" applyFill="1" applyBorder="1" applyAlignment="1">
      <alignment horizontal="center" vertical="center"/>
    </xf>
    <xf numFmtId="179" fontId="12" fillId="3" borderId="18" xfId="0" applyNumberFormat="1" applyFont="1" applyFill="1" applyBorder="1" applyAlignment="1">
      <alignment horizontal="center" vertical="center"/>
    </xf>
    <xf numFmtId="0" fontId="12" fillId="2" borderId="21" xfId="0" applyFont="1" applyFill="1" applyBorder="1" applyAlignment="1">
      <alignment vertical="center"/>
    </xf>
    <xf numFmtId="0" fontId="12" fillId="2" borderId="11" xfId="0" applyFont="1" applyFill="1" applyBorder="1" applyAlignment="1">
      <alignment vertical="center"/>
    </xf>
    <xf numFmtId="178" fontId="12" fillId="9" borderId="36" xfId="0" applyNumberFormat="1" applyFont="1" applyFill="1" applyBorder="1" applyAlignment="1">
      <alignment horizontal="center" vertical="center" shrinkToFit="1"/>
    </xf>
    <xf numFmtId="178" fontId="12" fillId="7" borderId="0" xfId="0" applyNumberFormat="1" applyFont="1" applyFill="1" applyBorder="1" applyAlignment="1">
      <alignment horizontal="center" vertical="center" shrinkToFit="1"/>
    </xf>
    <xf numFmtId="0" fontId="12" fillId="11" borderId="1" xfId="0" applyFont="1" applyFill="1" applyBorder="1" applyAlignment="1">
      <alignment horizontal="center" vertical="center" shrinkToFit="1"/>
    </xf>
    <xf numFmtId="0" fontId="14" fillId="11" borderId="2" xfId="0" applyFont="1" applyFill="1" applyBorder="1" applyAlignment="1">
      <alignment horizontal="center" vertical="center" shrinkToFit="1"/>
    </xf>
    <xf numFmtId="0" fontId="14" fillId="11" borderId="3" xfId="0" applyFont="1" applyFill="1" applyBorder="1" applyAlignment="1">
      <alignment horizontal="center" vertical="center" shrinkToFit="1"/>
    </xf>
    <xf numFmtId="0" fontId="5" fillId="11" borderId="36" xfId="0" applyFont="1" applyFill="1" applyBorder="1" applyAlignment="1">
      <alignment horizontal="center" vertical="center" shrinkToFit="1"/>
    </xf>
    <xf numFmtId="0" fontId="5" fillId="11" borderId="37" xfId="0" applyFont="1" applyFill="1" applyBorder="1" applyAlignment="1">
      <alignment horizontal="center" vertical="center" shrinkToFit="1"/>
    </xf>
    <xf numFmtId="0" fontId="12" fillId="3" borderId="8"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178" fontId="12" fillId="2" borderId="62" xfId="0" applyNumberFormat="1" applyFont="1" applyFill="1" applyBorder="1" applyAlignment="1">
      <alignment horizontal="center" vertical="center" shrinkToFit="1"/>
    </xf>
    <xf numFmtId="178" fontId="12" fillId="2" borderId="63" xfId="0" applyNumberFormat="1" applyFont="1" applyFill="1" applyBorder="1" applyAlignment="1">
      <alignment horizontal="center" vertical="center" shrinkToFit="1"/>
    </xf>
    <xf numFmtId="0" fontId="12" fillId="9" borderId="61" xfId="0" applyFont="1" applyFill="1" applyBorder="1" applyAlignment="1">
      <alignment horizontal="center" vertical="center"/>
    </xf>
    <xf numFmtId="0" fontId="12" fillId="9" borderId="57" xfId="0" applyFont="1" applyFill="1" applyBorder="1" applyAlignment="1">
      <alignment horizontal="center" vertical="center"/>
    </xf>
    <xf numFmtId="0" fontId="12" fillId="9" borderId="67" xfId="0" applyFont="1" applyFill="1" applyBorder="1" applyAlignment="1">
      <alignment horizontal="center" vertical="center"/>
    </xf>
    <xf numFmtId="0" fontId="14" fillId="9" borderId="56" xfId="0" applyFont="1" applyFill="1" applyBorder="1" applyAlignment="1">
      <alignment horizontal="center" vertical="center"/>
    </xf>
    <xf numFmtId="178" fontId="14" fillId="7" borderId="0" xfId="0" applyNumberFormat="1" applyFont="1" applyFill="1" applyBorder="1" applyAlignment="1">
      <alignment horizontal="center" vertical="center"/>
    </xf>
    <xf numFmtId="0" fontId="14" fillId="7" borderId="0" xfId="0" applyFont="1" applyFill="1" applyBorder="1" applyAlignment="1">
      <alignment horizontal="center" vertical="center"/>
    </xf>
    <xf numFmtId="0" fontId="12" fillId="0" borderId="0" xfId="0" applyFont="1" applyFill="1" applyBorder="1" applyAlignment="1">
      <alignment horizontal="center" vertical="center"/>
    </xf>
    <xf numFmtId="178" fontId="14" fillId="2" borderId="0"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7" borderId="6" xfId="0" applyNumberFormat="1" applyFont="1" applyFill="1" applyBorder="1" applyAlignment="1">
      <alignment horizontal="center" vertical="center"/>
    </xf>
    <xf numFmtId="0" fontId="14" fillId="2" borderId="4" xfId="0" applyFont="1" applyFill="1" applyBorder="1" applyAlignment="1">
      <alignment horizontal="center" vertical="center"/>
    </xf>
    <xf numFmtId="0" fontId="1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179" fontId="14" fillId="0" borderId="0" xfId="0" applyNumberFormat="1" applyFont="1" applyFill="1" applyBorder="1" applyAlignment="1">
      <alignment horizontal="center" vertical="center" wrapText="1"/>
    </xf>
    <xf numFmtId="0" fontId="14" fillId="3" borderId="2" xfId="0" applyFont="1" applyFill="1" applyBorder="1">
      <alignment vertical="center"/>
    </xf>
    <xf numFmtId="0" fontId="14" fillId="3" borderId="3" xfId="0" applyFont="1" applyFill="1" applyBorder="1">
      <alignment vertical="center"/>
    </xf>
    <xf numFmtId="0" fontId="14" fillId="3" borderId="0" xfId="0" applyFont="1" applyFill="1" applyBorder="1">
      <alignment vertical="center"/>
    </xf>
    <xf numFmtId="0" fontId="14" fillId="3" borderId="5" xfId="0" applyFont="1" applyFill="1" applyBorder="1">
      <alignment vertical="center"/>
    </xf>
    <xf numFmtId="177" fontId="14" fillId="3" borderId="0" xfId="0" applyNumberFormat="1" applyFont="1" applyFill="1" applyBorder="1" applyAlignment="1">
      <alignment horizontal="right" vertical="center"/>
    </xf>
    <xf numFmtId="11" fontId="16" fillId="2" borderId="0" xfId="0" applyNumberFormat="1" applyFont="1" applyFill="1" applyBorder="1" applyAlignment="1">
      <alignment vertical="center"/>
    </xf>
    <xf numFmtId="0" fontId="14" fillId="2" borderId="1" xfId="0" applyFont="1" applyFill="1" applyBorder="1">
      <alignment vertical="center"/>
    </xf>
    <xf numFmtId="0" fontId="14" fillId="2" borderId="2" xfId="0" applyFont="1" applyFill="1" applyBorder="1">
      <alignment vertical="center"/>
    </xf>
    <xf numFmtId="0" fontId="12" fillId="3" borderId="1" xfId="0" applyFont="1" applyFill="1" applyBorder="1">
      <alignment vertical="center"/>
    </xf>
    <xf numFmtId="0" fontId="14" fillId="3" borderId="6" xfId="0" applyFont="1" applyFill="1" applyBorder="1">
      <alignment vertical="center"/>
    </xf>
    <xf numFmtId="0" fontId="14" fillId="3" borderId="7" xfId="0" applyFont="1" applyFill="1" applyBorder="1">
      <alignment vertical="center"/>
    </xf>
    <xf numFmtId="181" fontId="14" fillId="2" borderId="0" xfId="0" applyNumberFormat="1" applyFont="1" applyFill="1" applyBorder="1" applyAlignment="1">
      <alignment horizontal="center" vertical="center"/>
    </xf>
    <xf numFmtId="0" fontId="14" fillId="3" borderId="0" xfId="0" applyFont="1" applyFill="1" applyBorder="1" applyAlignment="1">
      <alignment horizontal="center" vertical="center"/>
    </xf>
    <xf numFmtId="0" fontId="12" fillId="3" borderId="2" xfId="0" applyFont="1" applyFill="1" applyBorder="1">
      <alignment vertical="center"/>
    </xf>
    <xf numFmtId="0" fontId="12" fillId="3" borderId="4" xfId="0" applyFont="1" applyFill="1" applyBorder="1" applyAlignment="1">
      <alignment horizontal="center" vertical="center"/>
    </xf>
    <xf numFmtId="11" fontId="14" fillId="3" borderId="6" xfId="0" applyNumberFormat="1" applyFont="1" applyFill="1" applyBorder="1" applyAlignment="1">
      <alignment horizontal="right" vertical="center"/>
    </xf>
    <xf numFmtId="0" fontId="14" fillId="3" borderId="7" xfId="0" applyFont="1" applyFill="1" applyBorder="1" applyAlignment="1">
      <alignment horizontal="center" vertical="center" shrinkToFit="1"/>
    </xf>
    <xf numFmtId="0" fontId="14" fillId="2" borderId="0" xfId="0" applyNumberFormat="1" applyFont="1" applyFill="1" applyBorder="1">
      <alignment vertical="center"/>
    </xf>
    <xf numFmtId="177" fontId="14" fillId="3" borderId="2" xfId="0" applyNumberFormat="1" applyFont="1" applyFill="1" applyBorder="1">
      <alignment vertical="center"/>
    </xf>
    <xf numFmtId="0" fontId="14" fillId="7" borderId="2" xfId="0" applyFont="1" applyFill="1" applyBorder="1" applyAlignment="1">
      <alignment horizontal="center" vertical="center"/>
    </xf>
    <xf numFmtId="0" fontId="4" fillId="11" borderId="53" xfId="0" applyFont="1" applyFill="1" applyBorder="1" applyAlignment="1">
      <alignment horizontal="left" vertical="center"/>
    </xf>
    <xf numFmtId="0" fontId="5" fillId="11" borderId="36" xfId="0" applyFont="1" applyFill="1" applyBorder="1" applyAlignment="1">
      <alignment horizontal="left" vertical="center"/>
    </xf>
    <xf numFmtId="0" fontId="5" fillId="11" borderId="37" xfId="0" applyFont="1" applyFill="1" applyBorder="1" applyAlignment="1">
      <alignment horizontal="left" vertical="center"/>
    </xf>
    <xf numFmtId="0" fontId="12" fillId="2" borderId="8" xfId="0" applyFont="1" applyFill="1" applyBorder="1" applyAlignment="1">
      <alignment horizontal="center" vertical="center"/>
    </xf>
    <xf numFmtId="0" fontId="14" fillId="2" borderId="6" xfId="0" applyFont="1" applyFill="1" applyBorder="1" applyAlignment="1">
      <alignment horizontal="center" vertical="center"/>
    </xf>
    <xf numFmtId="0" fontId="12" fillId="3" borderId="8" xfId="0" applyFont="1" applyFill="1" applyBorder="1">
      <alignment vertical="center"/>
    </xf>
    <xf numFmtId="0" fontId="12" fillId="2" borderId="1" xfId="0" applyFont="1" applyFill="1" applyBorder="1" applyAlignment="1">
      <alignment horizontal="center" vertical="center"/>
    </xf>
    <xf numFmtId="0" fontId="12" fillId="2" borderId="78" xfId="0" applyFont="1" applyFill="1" applyBorder="1" applyAlignment="1">
      <alignment horizontal="center" vertical="center" shrinkToFit="1"/>
    </xf>
    <xf numFmtId="0" fontId="12" fillId="2" borderId="68" xfId="0" applyFont="1" applyFill="1" applyBorder="1" applyAlignment="1">
      <alignment horizontal="center" vertical="center" shrinkToFit="1"/>
    </xf>
    <xf numFmtId="0" fontId="7" fillId="0" borderId="53"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12" fillId="3" borderId="6" xfId="0" applyFont="1" applyFill="1" applyBorder="1">
      <alignment vertical="center"/>
    </xf>
    <xf numFmtId="0" fontId="12" fillId="3" borderId="10" xfId="0" applyFont="1" applyFill="1" applyBorder="1" applyAlignment="1">
      <alignment horizontal="center" vertical="center" shrinkToFit="1"/>
    </xf>
    <xf numFmtId="0" fontId="14" fillId="3" borderId="11" xfId="0" applyFont="1" applyFill="1" applyBorder="1" applyAlignment="1">
      <alignment horizontal="center" vertical="center" shrinkToFit="1"/>
    </xf>
    <xf numFmtId="181" fontId="16" fillId="2" borderId="0" xfId="0" applyNumberFormat="1" applyFont="1" applyFill="1" applyBorder="1" applyAlignment="1">
      <alignment horizontal="right" vertical="center"/>
    </xf>
    <xf numFmtId="0" fontId="15" fillId="2" borderId="0" xfId="0" applyFont="1" applyFill="1" applyBorder="1" applyAlignment="1">
      <alignment vertical="center"/>
    </xf>
    <xf numFmtId="181" fontId="14" fillId="2" borderId="2" xfId="0" applyNumberFormat="1" applyFont="1" applyFill="1" applyBorder="1" applyAlignment="1">
      <alignment horizontal="right" vertical="center"/>
    </xf>
    <xf numFmtId="0" fontId="12" fillId="3" borderId="6" xfId="0" applyFont="1" applyFill="1" applyBorder="1" applyAlignment="1">
      <alignment horizontal="center" vertical="center" shrinkToFit="1"/>
    </xf>
    <xf numFmtId="178" fontId="12" fillId="3" borderId="6" xfId="0" applyNumberFormat="1" applyFont="1" applyFill="1" applyBorder="1" applyAlignment="1">
      <alignment horizontal="left" vertical="center" shrinkToFit="1"/>
    </xf>
    <xf numFmtId="177" fontId="14" fillId="2" borderId="2" xfId="0" applyNumberFormat="1" applyFont="1" applyFill="1" applyBorder="1">
      <alignment vertical="center"/>
    </xf>
    <xf numFmtId="0" fontId="12" fillId="3" borderId="0" xfId="0" applyFont="1" applyFill="1" applyBorder="1">
      <alignment vertical="center"/>
    </xf>
    <xf numFmtId="177" fontId="14" fillId="3" borderId="2" xfId="0" applyNumberFormat="1" applyFont="1" applyFill="1" applyBorder="1" applyAlignment="1">
      <alignment horizontal="right" vertical="center"/>
    </xf>
    <xf numFmtId="179" fontId="14" fillId="3" borderId="6" xfId="0" applyNumberFormat="1" applyFont="1" applyFill="1" applyBorder="1">
      <alignment vertical="center"/>
    </xf>
    <xf numFmtId="0" fontId="4" fillId="11" borderId="53" xfId="0" applyFont="1" applyFill="1" applyBorder="1">
      <alignment vertical="center"/>
    </xf>
    <xf numFmtId="0" fontId="5" fillId="11" borderId="36" xfId="0" applyFont="1" applyFill="1" applyBorder="1">
      <alignment vertical="center"/>
    </xf>
    <xf numFmtId="0" fontId="5" fillId="11" borderId="37" xfId="0" applyFont="1" applyFill="1" applyBorder="1">
      <alignment vertical="center"/>
    </xf>
    <xf numFmtId="178" fontId="12" fillId="3" borderId="11" xfId="0" applyNumberFormat="1" applyFont="1" applyFill="1" applyBorder="1" applyAlignment="1">
      <alignment vertical="center" shrinkToFit="1"/>
    </xf>
    <xf numFmtId="178" fontId="14" fillId="3" borderId="11" xfId="0" applyNumberFormat="1" applyFont="1" applyFill="1" applyBorder="1" applyAlignment="1">
      <alignment vertical="center" shrinkToFit="1"/>
    </xf>
    <xf numFmtId="181" fontId="14" fillId="2" borderId="6" xfId="0" applyNumberFormat="1" applyFont="1" applyFill="1" applyBorder="1" applyAlignment="1">
      <alignment horizontal="center" vertical="center"/>
    </xf>
    <xf numFmtId="0" fontId="12" fillId="2" borderId="1" xfId="0" applyFont="1" applyFill="1" applyBorder="1" applyAlignment="1">
      <alignment horizontal="left" vertical="center" shrinkToFit="1"/>
    </xf>
    <xf numFmtId="0" fontId="12" fillId="2" borderId="2" xfId="0" applyFont="1" applyFill="1" applyBorder="1" applyAlignment="1">
      <alignment horizontal="left" vertical="center" shrinkToFit="1"/>
    </xf>
    <xf numFmtId="0" fontId="14" fillId="2" borderId="3" xfId="0" applyFont="1" applyFill="1" applyBorder="1">
      <alignment vertical="center"/>
    </xf>
    <xf numFmtId="0" fontId="5" fillId="0" borderId="4" xfId="0" applyFont="1" applyFill="1" applyBorder="1" applyProtection="1">
      <alignment vertical="center"/>
      <protection hidden="1"/>
    </xf>
  </cellXfs>
  <cellStyles count="3">
    <cellStyle name="標準" xfId="0" builtinId="0"/>
    <cellStyle name="標準_SVS遮音断面性能波型3" xfId="1"/>
    <cellStyle name="標準_サイレントボイド断面性能_SVS計算ｼｰﾄ(fujimori)" xfId="2"/>
  </cellStyles>
  <dxfs count="4">
    <dxf>
      <font>
        <color theme="0" tint="-4.9989318521683403E-2"/>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8340250658109"/>
          <c:y val="5.7180851063829786E-2"/>
          <c:w val="0.81171631034697633"/>
          <c:h val="0.86702127659574468"/>
        </c:manualLayout>
      </c:layout>
      <c:lineChart>
        <c:grouping val="standard"/>
        <c:varyColors val="0"/>
        <c:ser>
          <c:idx val="0"/>
          <c:order val="0"/>
          <c:tx>
            <c:strRef>
              <c:f>GRAPH!$C$3</c:f>
              <c:strCache>
                <c:ptCount val="1"/>
                <c:pt idx="0">
                  <c:v>L-80</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GRAPH!$D$3:$L$3</c:f>
              <c:numCache>
                <c:formatCode>General</c:formatCode>
                <c:ptCount val="9"/>
                <c:pt idx="1">
                  <c:v>103</c:v>
                </c:pt>
                <c:pt idx="2">
                  <c:v>93</c:v>
                </c:pt>
                <c:pt idx="3">
                  <c:v>86</c:v>
                </c:pt>
                <c:pt idx="4">
                  <c:v>80</c:v>
                </c:pt>
                <c:pt idx="5">
                  <c:v>77</c:v>
                </c:pt>
                <c:pt idx="6">
                  <c:v>76</c:v>
                </c:pt>
                <c:pt idx="7">
                  <c:v>76</c:v>
                </c:pt>
              </c:numCache>
            </c:numRef>
          </c:val>
          <c:smooth val="0"/>
        </c:ser>
        <c:ser>
          <c:idx val="1"/>
          <c:order val="1"/>
          <c:tx>
            <c:strRef>
              <c:f>GRAPH!$C$4:$D$4</c:f>
              <c:strCache>
                <c:ptCount val="2"/>
                <c:pt idx="0">
                  <c:v>L-75</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GRAPH!$D$4:$L$4</c:f>
              <c:numCache>
                <c:formatCode>General</c:formatCode>
                <c:ptCount val="9"/>
                <c:pt idx="1">
                  <c:v>98</c:v>
                </c:pt>
                <c:pt idx="2">
                  <c:v>88</c:v>
                </c:pt>
                <c:pt idx="3">
                  <c:v>81</c:v>
                </c:pt>
                <c:pt idx="4">
                  <c:v>75</c:v>
                </c:pt>
                <c:pt idx="5">
                  <c:v>72</c:v>
                </c:pt>
                <c:pt idx="6">
                  <c:v>71</c:v>
                </c:pt>
                <c:pt idx="7">
                  <c:v>71</c:v>
                </c:pt>
              </c:numCache>
            </c:numRef>
          </c:val>
          <c:smooth val="0"/>
        </c:ser>
        <c:ser>
          <c:idx val="2"/>
          <c:order val="2"/>
          <c:tx>
            <c:strRef>
              <c:f>GRAPH!$C$5:$D$5</c:f>
              <c:strCache>
                <c:ptCount val="2"/>
                <c:pt idx="0">
                  <c:v>L-70</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GRAPH!$D$5:$L$5</c:f>
              <c:numCache>
                <c:formatCode>General</c:formatCode>
                <c:ptCount val="9"/>
                <c:pt idx="1">
                  <c:v>93</c:v>
                </c:pt>
                <c:pt idx="2">
                  <c:v>83</c:v>
                </c:pt>
                <c:pt idx="3">
                  <c:v>76</c:v>
                </c:pt>
                <c:pt idx="4">
                  <c:v>70</c:v>
                </c:pt>
                <c:pt idx="5">
                  <c:v>67</c:v>
                </c:pt>
                <c:pt idx="6">
                  <c:v>66</c:v>
                </c:pt>
                <c:pt idx="7">
                  <c:v>66</c:v>
                </c:pt>
              </c:numCache>
            </c:numRef>
          </c:val>
          <c:smooth val="0"/>
        </c:ser>
        <c:ser>
          <c:idx val="3"/>
          <c:order val="3"/>
          <c:tx>
            <c:strRef>
              <c:f>GRAPH!$C$6:$D$6</c:f>
              <c:strCache>
                <c:ptCount val="2"/>
                <c:pt idx="0">
                  <c:v>L-65</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GRAPH!$D$6:$L$6</c:f>
              <c:numCache>
                <c:formatCode>General</c:formatCode>
                <c:ptCount val="9"/>
                <c:pt idx="1">
                  <c:v>88</c:v>
                </c:pt>
                <c:pt idx="2">
                  <c:v>78</c:v>
                </c:pt>
                <c:pt idx="3">
                  <c:v>71</c:v>
                </c:pt>
                <c:pt idx="4">
                  <c:v>65</c:v>
                </c:pt>
                <c:pt idx="5">
                  <c:v>62</c:v>
                </c:pt>
                <c:pt idx="6">
                  <c:v>61</c:v>
                </c:pt>
                <c:pt idx="7">
                  <c:v>61</c:v>
                </c:pt>
              </c:numCache>
            </c:numRef>
          </c:val>
          <c:smooth val="0"/>
        </c:ser>
        <c:ser>
          <c:idx val="4"/>
          <c:order val="4"/>
          <c:tx>
            <c:strRef>
              <c:f>GRAPH!$C$7:$D$7</c:f>
              <c:strCache>
                <c:ptCount val="2"/>
                <c:pt idx="0">
                  <c:v>L-60</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GRAPH!$D$7:$L$7</c:f>
              <c:numCache>
                <c:formatCode>General</c:formatCode>
                <c:ptCount val="9"/>
                <c:pt idx="1">
                  <c:v>83</c:v>
                </c:pt>
                <c:pt idx="2">
                  <c:v>73</c:v>
                </c:pt>
                <c:pt idx="3">
                  <c:v>66</c:v>
                </c:pt>
                <c:pt idx="4">
                  <c:v>60</c:v>
                </c:pt>
                <c:pt idx="5">
                  <c:v>57</c:v>
                </c:pt>
                <c:pt idx="6">
                  <c:v>56</c:v>
                </c:pt>
                <c:pt idx="7">
                  <c:v>56</c:v>
                </c:pt>
              </c:numCache>
            </c:numRef>
          </c:val>
          <c:smooth val="0"/>
        </c:ser>
        <c:ser>
          <c:idx val="5"/>
          <c:order val="5"/>
          <c:tx>
            <c:strRef>
              <c:f>GRAPH!$C$8:$D$8</c:f>
              <c:strCache>
                <c:ptCount val="2"/>
                <c:pt idx="0">
                  <c:v>L-55</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GRAPH!$D$8:$L$8</c:f>
              <c:numCache>
                <c:formatCode>General</c:formatCode>
                <c:ptCount val="9"/>
                <c:pt idx="1">
                  <c:v>78</c:v>
                </c:pt>
                <c:pt idx="2">
                  <c:v>68</c:v>
                </c:pt>
                <c:pt idx="3">
                  <c:v>61</c:v>
                </c:pt>
                <c:pt idx="4">
                  <c:v>55</c:v>
                </c:pt>
                <c:pt idx="5">
                  <c:v>52</c:v>
                </c:pt>
                <c:pt idx="6">
                  <c:v>51</c:v>
                </c:pt>
                <c:pt idx="7">
                  <c:v>51</c:v>
                </c:pt>
              </c:numCache>
            </c:numRef>
          </c:val>
          <c:smooth val="0"/>
        </c:ser>
        <c:ser>
          <c:idx val="6"/>
          <c:order val="6"/>
          <c:tx>
            <c:strRef>
              <c:f>GRAPH!$C$9:$D$9</c:f>
              <c:strCache>
                <c:ptCount val="2"/>
                <c:pt idx="0">
                  <c:v>L-50</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GRAPH!$D$9:$L$9</c:f>
              <c:numCache>
                <c:formatCode>General</c:formatCode>
                <c:ptCount val="9"/>
                <c:pt idx="1">
                  <c:v>73</c:v>
                </c:pt>
                <c:pt idx="2">
                  <c:v>63</c:v>
                </c:pt>
                <c:pt idx="3">
                  <c:v>56</c:v>
                </c:pt>
                <c:pt idx="4">
                  <c:v>50</c:v>
                </c:pt>
                <c:pt idx="5">
                  <c:v>47</c:v>
                </c:pt>
                <c:pt idx="6">
                  <c:v>46</c:v>
                </c:pt>
                <c:pt idx="7">
                  <c:v>46</c:v>
                </c:pt>
              </c:numCache>
            </c:numRef>
          </c:val>
          <c:smooth val="0"/>
        </c:ser>
        <c:ser>
          <c:idx val="7"/>
          <c:order val="7"/>
          <c:tx>
            <c:strRef>
              <c:f>GRAPH!$C$10:$D$10</c:f>
              <c:strCache>
                <c:ptCount val="2"/>
                <c:pt idx="0">
                  <c:v>L-45</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GRAPH!$D$10:$L$10</c:f>
              <c:numCache>
                <c:formatCode>General</c:formatCode>
                <c:ptCount val="9"/>
                <c:pt idx="1">
                  <c:v>68</c:v>
                </c:pt>
                <c:pt idx="2">
                  <c:v>58</c:v>
                </c:pt>
                <c:pt idx="3">
                  <c:v>51</c:v>
                </c:pt>
                <c:pt idx="4">
                  <c:v>45</c:v>
                </c:pt>
                <c:pt idx="5">
                  <c:v>42</c:v>
                </c:pt>
                <c:pt idx="6">
                  <c:v>41</c:v>
                </c:pt>
                <c:pt idx="7">
                  <c:v>41</c:v>
                </c:pt>
              </c:numCache>
            </c:numRef>
          </c:val>
          <c:smooth val="0"/>
        </c:ser>
        <c:ser>
          <c:idx val="8"/>
          <c:order val="8"/>
          <c:tx>
            <c:strRef>
              <c:f>GRAPH!$C$11:$D$11</c:f>
              <c:strCache>
                <c:ptCount val="2"/>
                <c:pt idx="0">
                  <c:v>L-40</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GRAPH!$D$11:$L$11</c:f>
              <c:numCache>
                <c:formatCode>General</c:formatCode>
                <c:ptCount val="9"/>
                <c:pt idx="1">
                  <c:v>63</c:v>
                </c:pt>
                <c:pt idx="2">
                  <c:v>53</c:v>
                </c:pt>
                <c:pt idx="3">
                  <c:v>46</c:v>
                </c:pt>
                <c:pt idx="4">
                  <c:v>40</c:v>
                </c:pt>
                <c:pt idx="5">
                  <c:v>37</c:v>
                </c:pt>
                <c:pt idx="6">
                  <c:v>36</c:v>
                </c:pt>
                <c:pt idx="7">
                  <c:v>36</c:v>
                </c:pt>
              </c:numCache>
            </c:numRef>
          </c:val>
          <c:smooth val="0"/>
        </c:ser>
        <c:ser>
          <c:idx val="9"/>
          <c:order val="9"/>
          <c:tx>
            <c:strRef>
              <c:f>GRAPH!$C$12:$D$12</c:f>
              <c:strCache>
                <c:ptCount val="2"/>
                <c:pt idx="0">
                  <c:v>L-35</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GRAPH!$D$12:$L$12</c:f>
              <c:numCache>
                <c:formatCode>General</c:formatCode>
                <c:ptCount val="9"/>
                <c:pt idx="1">
                  <c:v>58</c:v>
                </c:pt>
                <c:pt idx="2">
                  <c:v>48</c:v>
                </c:pt>
                <c:pt idx="3">
                  <c:v>41</c:v>
                </c:pt>
                <c:pt idx="4">
                  <c:v>35</c:v>
                </c:pt>
                <c:pt idx="5">
                  <c:v>32</c:v>
                </c:pt>
                <c:pt idx="6">
                  <c:v>31</c:v>
                </c:pt>
                <c:pt idx="7">
                  <c:v>31</c:v>
                </c:pt>
              </c:numCache>
            </c:numRef>
          </c:val>
          <c:smooth val="0"/>
        </c:ser>
        <c:ser>
          <c:idx val="10"/>
          <c:order val="10"/>
          <c:tx>
            <c:strRef>
              <c:f>GRAPH!$C$13:$D$13</c:f>
              <c:strCache>
                <c:ptCount val="2"/>
                <c:pt idx="0">
                  <c:v>L-30</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GRAPH!$D$13:$L$13</c:f>
              <c:numCache>
                <c:formatCode>General</c:formatCode>
                <c:ptCount val="9"/>
                <c:pt idx="1">
                  <c:v>53</c:v>
                </c:pt>
                <c:pt idx="2">
                  <c:v>43</c:v>
                </c:pt>
                <c:pt idx="3">
                  <c:v>36</c:v>
                </c:pt>
                <c:pt idx="4">
                  <c:v>30</c:v>
                </c:pt>
                <c:pt idx="5">
                  <c:v>27</c:v>
                </c:pt>
                <c:pt idx="6">
                  <c:v>26</c:v>
                </c:pt>
                <c:pt idx="7">
                  <c:v>26</c:v>
                </c:pt>
              </c:numCache>
            </c:numRef>
          </c:val>
          <c:smooth val="0"/>
        </c:ser>
        <c:ser>
          <c:idx val="11"/>
          <c:order val="11"/>
          <c:tx>
            <c:strRef>
              <c:f>GRAPH!$C$14</c:f>
              <c:strCache>
                <c:ptCount val="1"/>
                <c:pt idx="0">
                  <c:v>重量</c:v>
                </c:pt>
              </c:strCache>
            </c:strRef>
          </c:tx>
          <c:spPr>
            <a:ln w="12700">
              <a:solidFill>
                <a:srgbClr val="000000"/>
              </a:solidFill>
              <a:prstDash val="solid"/>
            </a:ln>
          </c:spPr>
          <c:marker>
            <c:symbol val="square"/>
            <c:size val="7"/>
            <c:spPr>
              <a:solidFill>
                <a:srgbClr val="000000"/>
              </a:solidFill>
              <a:ln>
                <a:solidFill>
                  <a:srgbClr val="000000"/>
                </a:solidFill>
                <a:prstDash val="solid"/>
              </a:ln>
            </c:spPr>
          </c:marker>
          <c:dPt>
            <c:idx val="1"/>
            <c:bubble3D val="0"/>
            <c:spPr>
              <a:ln w="12700">
                <a:noFill/>
                <a:prstDash val="solid"/>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GRAPH!$D$14:$L$14</c:f>
              <c:numCache>
                <c:formatCode>0.0_ </c:formatCode>
                <c:ptCount val="9"/>
                <c:pt idx="0" formatCode="General">
                  <c:v>0</c:v>
                </c:pt>
                <c:pt idx="1">
                  <c:v>0</c:v>
                </c:pt>
                <c:pt idx="2">
                  <c:v>0</c:v>
                </c:pt>
                <c:pt idx="3">
                  <c:v>0</c:v>
                </c:pt>
                <c:pt idx="4">
                  <c:v>0</c:v>
                </c:pt>
              </c:numCache>
            </c:numRef>
          </c:val>
          <c:smooth val="0"/>
        </c:ser>
        <c:dLbls>
          <c:showLegendKey val="0"/>
          <c:showVal val="0"/>
          <c:showCatName val="0"/>
          <c:showSerName val="0"/>
          <c:showPercent val="0"/>
          <c:showBubbleSize val="0"/>
        </c:dLbls>
        <c:smooth val="0"/>
        <c:axId val="463291248"/>
        <c:axId val="463291640"/>
      </c:lineChart>
      <c:catAx>
        <c:axId val="463291248"/>
        <c:scaling>
          <c:orientation val="minMax"/>
        </c:scaling>
        <c:delete val="0"/>
        <c:axPos val="b"/>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オクターブバンド中心周波数（</a:t>
                </a:r>
                <a:r>
                  <a:rPr lang="ja-JP" altLang="en-US" sz="1200" b="0" i="0" u="none" strike="noStrike" baseline="0">
                    <a:solidFill>
                      <a:srgbClr val="000000"/>
                    </a:solidFill>
                    <a:latin typeface="Arial"/>
                    <a:ea typeface="ＭＳ Ｐゴシック"/>
                    <a:cs typeface="Arial"/>
                  </a:rPr>
                  <a:t>Hz</a:t>
                </a:r>
                <a:r>
                  <a:rPr lang="ja-JP" altLang="en-US" sz="1200" b="0" i="0" u="none" strike="noStrike" baseline="0">
                    <a:solidFill>
                      <a:srgbClr val="000000"/>
                    </a:solidFill>
                    <a:latin typeface="ＭＳ Ｐゴシック"/>
                    <a:ea typeface="ＭＳ Ｐゴシック"/>
                    <a:cs typeface="Arial"/>
                  </a:rPr>
                  <a:t>）</a:t>
                </a:r>
                <a:endParaRPr lang="ja-JP" altLang="en-US"/>
              </a:p>
            </c:rich>
          </c:tx>
          <c:layout>
            <c:manualLayout>
              <c:xMode val="edge"/>
              <c:yMode val="edge"/>
              <c:x val="0.27146179949263666"/>
              <c:y val="0.9557536159043948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ja-JP"/>
          </a:p>
        </c:txPr>
        <c:crossAx val="463291640"/>
        <c:crosses val="autoZero"/>
        <c:auto val="1"/>
        <c:lblAlgn val="ctr"/>
        <c:lblOffset val="100"/>
        <c:tickLblSkip val="1"/>
        <c:tickMarkSkip val="1"/>
        <c:noMultiLvlLbl val="0"/>
      </c:catAx>
      <c:valAx>
        <c:axId val="463291640"/>
        <c:scaling>
          <c:orientation val="minMax"/>
          <c:max val="110"/>
          <c:min val="10"/>
        </c:scaling>
        <c:delete val="0"/>
        <c:axPos val="l"/>
        <c:majorGridlines>
          <c:spPr>
            <a:ln w="3175">
              <a:solidFill>
                <a:srgbClr val="000000"/>
              </a:solidFill>
              <a:prstDash val="solid"/>
            </a:ln>
          </c:spPr>
        </c:majorGridlines>
        <c:minorGridlines>
          <c:spPr>
            <a:ln w="3175">
              <a:solidFill>
                <a:srgbClr val="C0C0C0"/>
              </a:solidFill>
              <a:prstDash val="sysDash"/>
            </a:ln>
          </c:spPr>
        </c:min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床衝撃音レベル（</a:t>
                </a:r>
                <a:r>
                  <a:rPr lang="ja-JP" altLang="en-US" sz="1200" b="0" i="0" u="none" strike="noStrike" baseline="0">
                    <a:solidFill>
                      <a:srgbClr val="000000"/>
                    </a:solidFill>
                    <a:latin typeface="Arial"/>
                    <a:ea typeface="ＭＳ Ｐゴシック"/>
                    <a:cs typeface="Arial"/>
                  </a:rPr>
                  <a:t>dB</a:t>
                </a:r>
                <a:r>
                  <a:rPr lang="ja-JP" altLang="en-US" sz="1200" b="0" i="0" u="none" strike="noStrike" baseline="0">
                    <a:solidFill>
                      <a:srgbClr val="000000"/>
                    </a:solidFill>
                    <a:latin typeface="ＭＳ Ｐゴシック"/>
                    <a:ea typeface="ＭＳ Ｐゴシック"/>
                    <a:cs typeface="Arial"/>
                  </a:rPr>
                  <a:t>）</a:t>
                </a:r>
                <a:endParaRPr lang="ja-JP" altLang="en-US"/>
              </a:p>
            </c:rich>
          </c:tx>
          <c:layout>
            <c:manualLayout>
              <c:xMode val="edge"/>
              <c:yMode val="edge"/>
              <c:x val="1.1600830230949166E-2"/>
              <c:y val="0.3643072541464231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ja-JP"/>
          </a:p>
        </c:txPr>
        <c:crossAx val="463291248"/>
        <c:crosses val="autoZero"/>
        <c:crossBetween val="midCat"/>
        <c:majorUnit val="10"/>
        <c:minorUnit val="1"/>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8340250658109"/>
          <c:y val="5.7180851063829786E-2"/>
          <c:w val="0.81171631034697633"/>
          <c:h val="0.86702127659574468"/>
        </c:manualLayout>
      </c:layout>
      <c:lineChart>
        <c:grouping val="standard"/>
        <c:varyColors val="0"/>
        <c:ser>
          <c:idx val="0"/>
          <c:order val="0"/>
          <c:tx>
            <c:strRef>
              <c:f>GRAPH!$C$3</c:f>
              <c:strCache>
                <c:ptCount val="1"/>
                <c:pt idx="0">
                  <c:v>L-80</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GRAPH!$D$3:$L$3</c:f>
              <c:numCache>
                <c:formatCode>General</c:formatCode>
                <c:ptCount val="9"/>
                <c:pt idx="1">
                  <c:v>103</c:v>
                </c:pt>
                <c:pt idx="2">
                  <c:v>93</c:v>
                </c:pt>
                <c:pt idx="3">
                  <c:v>86</c:v>
                </c:pt>
                <c:pt idx="4">
                  <c:v>80</c:v>
                </c:pt>
                <c:pt idx="5">
                  <c:v>77</c:v>
                </c:pt>
                <c:pt idx="6">
                  <c:v>76</c:v>
                </c:pt>
                <c:pt idx="7">
                  <c:v>76</c:v>
                </c:pt>
              </c:numCache>
            </c:numRef>
          </c:val>
          <c:smooth val="0"/>
        </c:ser>
        <c:ser>
          <c:idx val="1"/>
          <c:order val="1"/>
          <c:tx>
            <c:strRef>
              <c:f>GRAPH!$C$4:$D$4</c:f>
              <c:strCache>
                <c:ptCount val="2"/>
                <c:pt idx="0">
                  <c:v>L-75</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GRAPH!$D$4:$L$4</c:f>
              <c:numCache>
                <c:formatCode>General</c:formatCode>
                <c:ptCount val="9"/>
                <c:pt idx="1">
                  <c:v>98</c:v>
                </c:pt>
                <c:pt idx="2">
                  <c:v>88</c:v>
                </c:pt>
                <c:pt idx="3">
                  <c:v>81</c:v>
                </c:pt>
                <c:pt idx="4">
                  <c:v>75</c:v>
                </c:pt>
                <c:pt idx="5">
                  <c:v>72</c:v>
                </c:pt>
                <c:pt idx="6">
                  <c:v>71</c:v>
                </c:pt>
                <c:pt idx="7">
                  <c:v>71</c:v>
                </c:pt>
              </c:numCache>
            </c:numRef>
          </c:val>
          <c:smooth val="0"/>
        </c:ser>
        <c:ser>
          <c:idx val="2"/>
          <c:order val="2"/>
          <c:tx>
            <c:strRef>
              <c:f>GRAPH!$C$5:$D$5</c:f>
              <c:strCache>
                <c:ptCount val="2"/>
                <c:pt idx="0">
                  <c:v>L-70</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GRAPH!$D$5:$L$5</c:f>
              <c:numCache>
                <c:formatCode>General</c:formatCode>
                <c:ptCount val="9"/>
                <c:pt idx="1">
                  <c:v>93</c:v>
                </c:pt>
                <c:pt idx="2">
                  <c:v>83</c:v>
                </c:pt>
                <c:pt idx="3">
                  <c:v>76</c:v>
                </c:pt>
                <c:pt idx="4">
                  <c:v>70</c:v>
                </c:pt>
                <c:pt idx="5">
                  <c:v>67</c:v>
                </c:pt>
                <c:pt idx="6">
                  <c:v>66</c:v>
                </c:pt>
                <c:pt idx="7">
                  <c:v>66</c:v>
                </c:pt>
              </c:numCache>
            </c:numRef>
          </c:val>
          <c:smooth val="0"/>
        </c:ser>
        <c:ser>
          <c:idx val="3"/>
          <c:order val="3"/>
          <c:tx>
            <c:strRef>
              <c:f>GRAPH!$C$6:$D$6</c:f>
              <c:strCache>
                <c:ptCount val="2"/>
                <c:pt idx="0">
                  <c:v>L-65</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GRAPH!$D$6:$L$6</c:f>
              <c:numCache>
                <c:formatCode>General</c:formatCode>
                <c:ptCount val="9"/>
                <c:pt idx="1">
                  <c:v>88</c:v>
                </c:pt>
                <c:pt idx="2">
                  <c:v>78</c:v>
                </c:pt>
                <c:pt idx="3">
                  <c:v>71</c:v>
                </c:pt>
                <c:pt idx="4">
                  <c:v>65</c:v>
                </c:pt>
                <c:pt idx="5">
                  <c:v>62</c:v>
                </c:pt>
                <c:pt idx="6">
                  <c:v>61</c:v>
                </c:pt>
                <c:pt idx="7">
                  <c:v>61</c:v>
                </c:pt>
              </c:numCache>
            </c:numRef>
          </c:val>
          <c:smooth val="0"/>
        </c:ser>
        <c:ser>
          <c:idx val="4"/>
          <c:order val="4"/>
          <c:tx>
            <c:strRef>
              <c:f>GRAPH!$C$7:$D$7</c:f>
              <c:strCache>
                <c:ptCount val="2"/>
                <c:pt idx="0">
                  <c:v>L-60</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GRAPH!$D$7:$L$7</c:f>
              <c:numCache>
                <c:formatCode>General</c:formatCode>
                <c:ptCount val="9"/>
                <c:pt idx="1">
                  <c:v>83</c:v>
                </c:pt>
                <c:pt idx="2">
                  <c:v>73</c:v>
                </c:pt>
                <c:pt idx="3">
                  <c:v>66</c:v>
                </c:pt>
                <c:pt idx="4">
                  <c:v>60</c:v>
                </c:pt>
                <c:pt idx="5">
                  <c:v>57</c:v>
                </c:pt>
                <c:pt idx="6">
                  <c:v>56</c:v>
                </c:pt>
                <c:pt idx="7">
                  <c:v>56</c:v>
                </c:pt>
              </c:numCache>
            </c:numRef>
          </c:val>
          <c:smooth val="0"/>
        </c:ser>
        <c:ser>
          <c:idx val="5"/>
          <c:order val="5"/>
          <c:tx>
            <c:strRef>
              <c:f>GRAPH!$C$8:$D$8</c:f>
              <c:strCache>
                <c:ptCount val="2"/>
                <c:pt idx="0">
                  <c:v>L-55</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GRAPH!$D$8:$L$8</c:f>
              <c:numCache>
                <c:formatCode>General</c:formatCode>
                <c:ptCount val="9"/>
                <c:pt idx="1">
                  <c:v>78</c:v>
                </c:pt>
                <c:pt idx="2">
                  <c:v>68</c:v>
                </c:pt>
                <c:pt idx="3">
                  <c:v>61</c:v>
                </c:pt>
                <c:pt idx="4">
                  <c:v>55</c:v>
                </c:pt>
                <c:pt idx="5">
                  <c:v>52</c:v>
                </c:pt>
                <c:pt idx="6">
                  <c:v>51</c:v>
                </c:pt>
                <c:pt idx="7">
                  <c:v>51</c:v>
                </c:pt>
              </c:numCache>
            </c:numRef>
          </c:val>
          <c:smooth val="0"/>
        </c:ser>
        <c:ser>
          <c:idx val="6"/>
          <c:order val="6"/>
          <c:tx>
            <c:strRef>
              <c:f>GRAPH!$C$9:$D$9</c:f>
              <c:strCache>
                <c:ptCount val="2"/>
                <c:pt idx="0">
                  <c:v>L-50</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GRAPH!$D$9:$L$9</c:f>
              <c:numCache>
                <c:formatCode>General</c:formatCode>
                <c:ptCount val="9"/>
                <c:pt idx="1">
                  <c:v>73</c:v>
                </c:pt>
                <c:pt idx="2">
                  <c:v>63</c:v>
                </c:pt>
                <c:pt idx="3">
                  <c:v>56</c:v>
                </c:pt>
                <c:pt idx="4">
                  <c:v>50</c:v>
                </c:pt>
                <c:pt idx="5">
                  <c:v>47</c:v>
                </c:pt>
                <c:pt idx="6">
                  <c:v>46</c:v>
                </c:pt>
                <c:pt idx="7">
                  <c:v>46</c:v>
                </c:pt>
              </c:numCache>
            </c:numRef>
          </c:val>
          <c:smooth val="0"/>
        </c:ser>
        <c:ser>
          <c:idx val="7"/>
          <c:order val="7"/>
          <c:tx>
            <c:strRef>
              <c:f>GRAPH!$C$10:$D$10</c:f>
              <c:strCache>
                <c:ptCount val="2"/>
                <c:pt idx="0">
                  <c:v>L-45</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GRAPH!$D$10:$L$10</c:f>
              <c:numCache>
                <c:formatCode>General</c:formatCode>
                <c:ptCount val="9"/>
                <c:pt idx="1">
                  <c:v>68</c:v>
                </c:pt>
                <c:pt idx="2">
                  <c:v>58</c:v>
                </c:pt>
                <c:pt idx="3">
                  <c:v>51</c:v>
                </c:pt>
                <c:pt idx="4">
                  <c:v>45</c:v>
                </c:pt>
                <c:pt idx="5">
                  <c:v>42</c:v>
                </c:pt>
                <c:pt idx="6">
                  <c:v>41</c:v>
                </c:pt>
                <c:pt idx="7">
                  <c:v>41</c:v>
                </c:pt>
              </c:numCache>
            </c:numRef>
          </c:val>
          <c:smooth val="0"/>
        </c:ser>
        <c:ser>
          <c:idx val="8"/>
          <c:order val="8"/>
          <c:tx>
            <c:strRef>
              <c:f>GRAPH!$C$11:$D$11</c:f>
              <c:strCache>
                <c:ptCount val="2"/>
                <c:pt idx="0">
                  <c:v>L-40</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GRAPH!$D$11:$L$11</c:f>
              <c:numCache>
                <c:formatCode>General</c:formatCode>
                <c:ptCount val="9"/>
                <c:pt idx="1">
                  <c:v>63</c:v>
                </c:pt>
                <c:pt idx="2">
                  <c:v>53</c:v>
                </c:pt>
                <c:pt idx="3">
                  <c:v>46</c:v>
                </c:pt>
                <c:pt idx="4">
                  <c:v>40</c:v>
                </c:pt>
                <c:pt idx="5">
                  <c:v>37</c:v>
                </c:pt>
                <c:pt idx="6">
                  <c:v>36</c:v>
                </c:pt>
                <c:pt idx="7">
                  <c:v>36</c:v>
                </c:pt>
              </c:numCache>
            </c:numRef>
          </c:val>
          <c:smooth val="0"/>
        </c:ser>
        <c:ser>
          <c:idx val="9"/>
          <c:order val="9"/>
          <c:tx>
            <c:strRef>
              <c:f>GRAPH!$C$12:$D$12</c:f>
              <c:strCache>
                <c:ptCount val="2"/>
                <c:pt idx="0">
                  <c:v>L-35</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GRAPH!$D$12:$L$12</c:f>
              <c:numCache>
                <c:formatCode>General</c:formatCode>
                <c:ptCount val="9"/>
                <c:pt idx="1">
                  <c:v>58</c:v>
                </c:pt>
                <c:pt idx="2">
                  <c:v>48</c:v>
                </c:pt>
                <c:pt idx="3">
                  <c:v>41</c:v>
                </c:pt>
                <c:pt idx="4">
                  <c:v>35</c:v>
                </c:pt>
                <c:pt idx="5">
                  <c:v>32</c:v>
                </c:pt>
                <c:pt idx="6">
                  <c:v>31</c:v>
                </c:pt>
                <c:pt idx="7">
                  <c:v>31</c:v>
                </c:pt>
              </c:numCache>
            </c:numRef>
          </c:val>
          <c:smooth val="0"/>
        </c:ser>
        <c:ser>
          <c:idx val="10"/>
          <c:order val="10"/>
          <c:tx>
            <c:strRef>
              <c:f>GRAPH!$C$13:$D$13</c:f>
              <c:strCache>
                <c:ptCount val="2"/>
                <c:pt idx="0">
                  <c:v>L-30</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GRAPH!$D$13:$L$13</c:f>
              <c:numCache>
                <c:formatCode>General</c:formatCode>
                <c:ptCount val="9"/>
                <c:pt idx="1">
                  <c:v>53</c:v>
                </c:pt>
                <c:pt idx="2">
                  <c:v>43</c:v>
                </c:pt>
                <c:pt idx="3">
                  <c:v>36</c:v>
                </c:pt>
                <c:pt idx="4">
                  <c:v>30</c:v>
                </c:pt>
                <c:pt idx="5">
                  <c:v>27</c:v>
                </c:pt>
                <c:pt idx="6">
                  <c:v>26</c:v>
                </c:pt>
                <c:pt idx="7">
                  <c:v>26</c:v>
                </c:pt>
              </c:numCache>
            </c:numRef>
          </c:val>
          <c:smooth val="0"/>
        </c:ser>
        <c:ser>
          <c:idx val="11"/>
          <c:order val="11"/>
          <c:tx>
            <c:strRef>
              <c:f>GRAPH!$C$15</c:f>
              <c:strCache>
                <c:ptCount val="1"/>
                <c:pt idx="0">
                  <c:v>軽量</c:v>
                </c:pt>
              </c:strCache>
            </c:strRef>
          </c:tx>
          <c:spPr>
            <a:ln w="12700">
              <a:solidFill>
                <a:srgbClr val="000000"/>
              </a:solidFill>
              <a:prstDash val="solid"/>
            </a:ln>
          </c:spPr>
          <c:marker>
            <c:symbol val="square"/>
            <c:size val="7"/>
            <c:spPr>
              <a:solidFill>
                <a:srgbClr val="000000"/>
              </a:solidFill>
              <a:ln>
                <a:solidFill>
                  <a:srgbClr val="000000"/>
                </a:solidFill>
                <a:prstDash val="solid"/>
              </a:ln>
            </c:spPr>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GRAPH!$D$15:$L$15</c:f>
              <c:numCache>
                <c:formatCode>0.0_ </c:formatCode>
                <c:ptCount val="9"/>
                <c:pt idx="2">
                  <c:v>66</c:v>
                </c:pt>
                <c:pt idx="3">
                  <c:v>70</c:v>
                </c:pt>
                <c:pt idx="4">
                  <c:v>72</c:v>
                </c:pt>
                <c:pt idx="5">
                  <c:v>73</c:v>
                </c:pt>
                <c:pt idx="6">
                  <c:v>74</c:v>
                </c:pt>
              </c:numCache>
            </c:numRef>
          </c:val>
          <c:smooth val="0"/>
        </c:ser>
        <c:dLbls>
          <c:showLegendKey val="0"/>
          <c:showVal val="0"/>
          <c:showCatName val="0"/>
          <c:showSerName val="0"/>
          <c:showPercent val="0"/>
          <c:showBubbleSize val="0"/>
        </c:dLbls>
        <c:smooth val="0"/>
        <c:axId val="463286936"/>
        <c:axId val="463290072"/>
      </c:lineChart>
      <c:catAx>
        <c:axId val="463286936"/>
        <c:scaling>
          <c:orientation val="minMax"/>
        </c:scaling>
        <c:delete val="0"/>
        <c:axPos val="b"/>
        <c:majorGridlines>
          <c:spPr>
            <a:ln w="3175">
              <a:solidFill>
                <a:srgbClr val="000000"/>
              </a:solidFill>
              <a:prstDash val="solid"/>
            </a:ln>
          </c:spPr>
        </c:majorGridlines>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オクターブバンド中心周波数（</a:t>
                </a:r>
                <a:r>
                  <a:rPr lang="ja-JP" altLang="en-US" sz="1200" b="0" i="0" u="none" strike="noStrike" baseline="0">
                    <a:solidFill>
                      <a:srgbClr val="000000"/>
                    </a:solidFill>
                    <a:latin typeface="Arial"/>
                    <a:ea typeface="ＭＳ Ｐゴシック"/>
                    <a:cs typeface="Arial"/>
                  </a:rPr>
                  <a:t>Hz</a:t>
                </a:r>
                <a:r>
                  <a:rPr lang="ja-JP" altLang="en-US" sz="1200" b="0" i="0" u="none" strike="noStrike" baseline="0">
                    <a:solidFill>
                      <a:srgbClr val="000000"/>
                    </a:solidFill>
                    <a:latin typeface="ＭＳ Ｐゴシック"/>
                    <a:ea typeface="ＭＳ Ｐゴシック"/>
                    <a:cs typeface="Arial"/>
                  </a:rPr>
                  <a:t>）</a:t>
                </a:r>
                <a:endParaRPr lang="ja-JP" altLang="en-US"/>
              </a:p>
            </c:rich>
          </c:tx>
          <c:layout>
            <c:manualLayout>
              <c:xMode val="edge"/>
              <c:yMode val="edge"/>
              <c:x val="0.27146179949263666"/>
              <c:y val="0.9557536159043948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ja-JP"/>
          </a:p>
        </c:txPr>
        <c:crossAx val="463290072"/>
        <c:crosses val="autoZero"/>
        <c:auto val="1"/>
        <c:lblAlgn val="ctr"/>
        <c:lblOffset val="100"/>
        <c:tickLblSkip val="1"/>
        <c:tickMarkSkip val="1"/>
        <c:noMultiLvlLbl val="0"/>
      </c:catAx>
      <c:valAx>
        <c:axId val="463290072"/>
        <c:scaling>
          <c:orientation val="minMax"/>
          <c:max val="110"/>
          <c:min val="10"/>
        </c:scaling>
        <c:delete val="0"/>
        <c:axPos val="l"/>
        <c:majorGridlines>
          <c:spPr>
            <a:ln w="3175">
              <a:solidFill>
                <a:srgbClr val="000000"/>
              </a:solidFill>
              <a:prstDash val="solid"/>
            </a:ln>
          </c:spPr>
        </c:majorGridlines>
        <c:minorGridlines>
          <c:spPr>
            <a:ln w="3175">
              <a:solidFill>
                <a:srgbClr val="C0C0C0"/>
              </a:solidFill>
              <a:prstDash val="sysDash"/>
            </a:ln>
          </c:spPr>
        </c:minorGridlines>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床衝撃音レベル（</a:t>
                </a:r>
                <a:r>
                  <a:rPr lang="ja-JP" altLang="en-US" sz="1200" b="0" i="0" u="none" strike="noStrike" baseline="0">
                    <a:solidFill>
                      <a:srgbClr val="000000"/>
                    </a:solidFill>
                    <a:latin typeface="Arial"/>
                    <a:ea typeface="ＭＳ Ｐゴシック"/>
                    <a:cs typeface="Arial"/>
                  </a:rPr>
                  <a:t>dB</a:t>
                </a:r>
                <a:r>
                  <a:rPr lang="ja-JP" altLang="en-US" sz="1200" b="0" i="0" u="none" strike="noStrike" baseline="0">
                    <a:solidFill>
                      <a:srgbClr val="000000"/>
                    </a:solidFill>
                    <a:latin typeface="ＭＳ Ｐゴシック"/>
                    <a:ea typeface="ＭＳ Ｐゴシック"/>
                    <a:cs typeface="Arial"/>
                  </a:rPr>
                  <a:t>）</a:t>
                </a:r>
                <a:endParaRPr lang="ja-JP" altLang="en-US"/>
              </a:p>
            </c:rich>
          </c:tx>
          <c:layout>
            <c:manualLayout>
              <c:xMode val="edge"/>
              <c:yMode val="edge"/>
              <c:x val="1.1600830230949166E-2"/>
              <c:y val="0.3643072541464231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ja-JP"/>
          </a:p>
        </c:txPr>
        <c:crossAx val="463286936"/>
        <c:crosses val="autoZero"/>
        <c:crossBetween val="midCat"/>
        <c:majorUnit val="10"/>
        <c:minorUnit val="1"/>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8340250658109"/>
          <c:y val="5.7180851063829786E-2"/>
          <c:w val="0.81171631034697633"/>
          <c:h val="0.86702127659574468"/>
        </c:manualLayout>
      </c:layout>
      <c:lineChart>
        <c:grouping val="standard"/>
        <c:varyColors val="0"/>
        <c:ser>
          <c:idx val="0"/>
          <c:order val="0"/>
          <c:tx>
            <c:strRef>
              <c:f>GRAPH!$C$3</c:f>
              <c:strCache>
                <c:ptCount val="1"/>
                <c:pt idx="0">
                  <c:v>L-80</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GRAPH!$D$3:$L$3</c:f>
              <c:numCache>
                <c:formatCode>General</c:formatCode>
                <c:ptCount val="9"/>
                <c:pt idx="1">
                  <c:v>103</c:v>
                </c:pt>
                <c:pt idx="2">
                  <c:v>93</c:v>
                </c:pt>
                <c:pt idx="3">
                  <c:v>86</c:v>
                </c:pt>
                <c:pt idx="4">
                  <c:v>80</c:v>
                </c:pt>
                <c:pt idx="5">
                  <c:v>77</c:v>
                </c:pt>
                <c:pt idx="6">
                  <c:v>76</c:v>
                </c:pt>
                <c:pt idx="7">
                  <c:v>76</c:v>
                </c:pt>
              </c:numCache>
            </c:numRef>
          </c:val>
          <c:smooth val="0"/>
        </c:ser>
        <c:ser>
          <c:idx val="1"/>
          <c:order val="1"/>
          <c:tx>
            <c:strRef>
              <c:f>GRAPH!$C$4:$D$4</c:f>
              <c:strCache>
                <c:ptCount val="2"/>
                <c:pt idx="0">
                  <c:v>L-75</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GRAPH!$D$4:$L$4</c:f>
              <c:numCache>
                <c:formatCode>General</c:formatCode>
                <c:ptCount val="9"/>
                <c:pt idx="1">
                  <c:v>98</c:v>
                </c:pt>
                <c:pt idx="2">
                  <c:v>88</c:v>
                </c:pt>
                <c:pt idx="3">
                  <c:v>81</c:v>
                </c:pt>
                <c:pt idx="4">
                  <c:v>75</c:v>
                </c:pt>
                <c:pt idx="5">
                  <c:v>72</c:v>
                </c:pt>
                <c:pt idx="6">
                  <c:v>71</c:v>
                </c:pt>
                <c:pt idx="7">
                  <c:v>71</c:v>
                </c:pt>
              </c:numCache>
            </c:numRef>
          </c:val>
          <c:smooth val="0"/>
        </c:ser>
        <c:ser>
          <c:idx val="2"/>
          <c:order val="2"/>
          <c:tx>
            <c:strRef>
              <c:f>GRAPH!$C$5:$D$5</c:f>
              <c:strCache>
                <c:ptCount val="2"/>
                <c:pt idx="0">
                  <c:v>L-70</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GRAPH!$D$5:$L$5</c:f>
              <c:numCache>
                <c:formatCode>General</c:formatCode>
                <c:ptCount val="9"/>
                <c:pt idx="1">
                  <c:v>93</c:v>
                </c:pt>
                <c:pt idx="2">
                  <c:v>83</c:v>
                </c:pt>
                <c:pt idx="3">
                  <c:v>76</c:v>
                </c:pt>
                <c:pt idx="4">
                  <c:v>70</c:v>
                </c:pt>
                <c:pt idx="5">
                  <c:v>67</c:v>
                </c:pt>
                <c:pt idx="6">
                  <c:v>66</c:v>
                </c:pt>
                <c:pt idx="7">
                  <c:v>66</c:v>
                </c:pt>
              </c:numCache>
            </c:numRef>
          </c:val>
          <c:smooth val="0"/>
        </c:ser>
        <c:ser>
          <c:idx val="3"/>
          <c:order val="3"/>
          <c:tx>
            <c:strRef>
              <c:f>GRAPH!$C$6:$D$6</c:f>
              <c:strCache>
                <c:ptCount val="2"/>
                <c:pt idx="0">
                  <c:v>L-65</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GRAPH!$D$6:$L$6</c:f>
              <c:numCache>
                <c:formatCode>General</c:formatCode>
                <c:ptCount val="9"/>
                <c:pt idx="1">
                  <c:v>88</c:v>
                </c:pt>
                <c:pt idx="2">
                  <c:v>78</c:v>
                </c:pt>
                <c:pt idx="3">
                  <c:v>71</c:v>
                </c:pt>
                <c:pt idx="4">
                  <c:v>65</c:v>
                </c:pt>
                <c:pt idx="5">
                  <c:v>62</c:v>
                </c:pt>
                <c:pt idx="6">
                  <c:v>61</c:v>
                </c:pt>
                <c:pt idx="7">
                  <c:v>61</c:v>
                </c:pt>
              </c:numCache>
            </c:numRef>
          </c:val>
          <c:smooth val="0"/>
        </c:ser>
        <c:ser>
          <c:idx val="4"/>
          <c:order val="4"/>
          <c:tx>
            <c:strRef>
              <c:f>GRAPH!$C$7:$D$7</c:f>
              <c:strCache>
                <c:ptCount val="2"/>
                <c:pt idx="0">
                  <c:v>L-60</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GRAPH!$D$7:$L$7</c:f>
              <c:numCache>
                <c:formatCode>General</c:formatCode>
                <c:ptCount val="9"/>
                <c:pt idx="1">
                  <c:v>83</c:v>
                </c:pt>
                <c:pt idx="2">
                  <c:v>73</c:v>
                </c:pt>
                <c:pt idx="3">
                  <c:v>66</c:v>
                </c:pt>
                <c:pt idx="4">
                  <c:v>60</c:v>
                </c:pt>
                <c:pt idx="5">
                  <c:v>57</c:v>
                </c:pt>
                <c:pt idx="6">
                  <c:v>56</c:v>
                </c:pt>
                <c:pt idx="7">
                  <c:v>56</c:v>
                </c:pt>
              </c:numCache>
            </c:numRef>
          </c:val>
          <c:smooth val="0"/>
        </c:ser>
        <c:ser>
          <c:idx val="5"/>
          <c:order val="5"/>
          <c:tx>
            <c:strRef>
              <c:f>GRAPH!$C$8:$D$8</c:f>
              <c:strCache>
                <c:ptCount val="2"/>
                <c:pt idx="0">
                  <c:v>L-55</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GRAPH!$D$8:$L$8</c:f>
              <c:numCache>
                <c:formatCode>General</c:formatCode>
                <c:ptCount val="9"/>
                <c:pt idx="1">
                  <c:v>78</c:v>
                </c:pt>
                <c:pt idx="2">
                  <c:v>68</c:v>
                </c:pt>
                <c:pt idx="3">
                  <c:v>61</c:v>
                </c:pt>
                <c:pt idx="4">
                  <c:v>55</c:v>
                </c:pt>
                <c:pt idx="5">
                  <c:v>52</c:v>
                </c:pt>
                <c:pt idx="6">
                  <c:v>51</c:v>
                </c:pt>
                <c:pt idx="7">
                  <c:v>51</c:v>
                </c:pt>
              </c:numCache>
            </c:numRef>
          </c:val>
          <c:smooth val="0"/>
        </c:ser>
        <c:ser>
          <c:idx val="6"/>
          <c:order val="6"/>
          <c:tx>
            <c:strRef>
              <c:f>GRAPH!$C$9:$D$9</c:f>
              <c:strCache>
                <c:ptCount val="2"/>
                <c:pt idx="0">
                  <c:v>L-50</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GRAPH!$D$9:$L$9</c:f>
              <c:numCache>
                <c:formatCode>General</c:formatCode>
                <c:ptCount val="9"/>
                <c:pt idx="1">
                  <c:v>73</c:v>
                </c:pt>
                <c:pt idx="2">
                  <c:v>63</c:v>
                </c:pt>
                <c:pt idx="3">
                  <c:v>56</c:v>
                </c:pt>
                <c:pt idx="4">
                  <c:v>50</c:v>
                </c:pt>
                <c:pt idx="5">
                  <c:v>47</c:v>
                </c:pt>
                <c:pt idx="6">
                  <c:v>46</c:v>
                </c:pt>
                <c:pt idx="7">
                  <c:v>46</c:v>
                </c:pt>
              </c:numCache>
            </c:numRef>
          </c:val>
          <c:smooth val="0"/>
        </c:ser>
        <c:ser>
          <c:idx val="7"/>
          <c:order val="7"/>
          <c:tx>
            <c:strRef>
              <c:f>GRAPH!$C$10:$D$10</c:f>
              <c:strCache>
                <c:ptCount val="2"/>
                <c:pt idx="0">
                  <c:v>L-45</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GRAPH!$D$10:$L$10</c:f>
              <c:numCache>
                <c:formatCode>General</c:formatCode>
                <c:ptCount val="9"/>
                <c:pt idx="1">
                  <c:v>68</c:v>
                </c:pt>
                <c:pt idx="2">
                  <c:v>58</c:v>
                </c:pt>
                <c:pt idx="3">
                  <c:v>51</c:v>
                </c:pt>
                <c:pt idx="4">
                  <c:v>45</c:v>
                </c:pt>
                <c:pt idx="5">
                  <c:v>42</c:v>
                </c:pt>
                <c:pt idx="6">
                  <c:v>41</c:v>
                </c:pt>
                <c:pt idx="7">
                  <c:v>41</c:v>
                </c:pt>
              </c:numCache>
            </c:numRef>
          </c:val>
          <c:smooth val="0"/>
        </c:ser>
        <c:ser>
          <c:idx val="8"/>
          <c:order val="8"/>
          <c:tx>
            <c:strRef>
              <c:f>GRAPH!$C$11:$D$11</c:f>
              <c:strCache>
                <c:ptCount val="2"/>
                <c:pt idx="0">
                  <c:v>L-40</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GRAPH!$D$11:$L$11</c:f>
              <c:numCache>
                <c:formatCode>General</c:formatCode>
                <c:ptCount val="9"/>
                <c:pt idx="1">
                  <c:v>63</c:v>
                </c:pt>
                <c:pt idx="2">
                  <c:v>53</c:v>
                </c:pt>
                <c:pt idx="3">
                  <c:v>46</c:v>
                </c:pt>
                <c:pt idx="4">
                  <c:v>40</c:v>
                </c:pt>
                <c:pt idx="5">
                  <c:v>37</c:v>
                </c:pt>
                <c:pt idx="6">
                  <c:v>36</c:v>
                </c:pt>
                <c:pt idx="7">
                  <c:v>36</c:v>
                </c:pt>
              </c:numCache>
            </c:numRef>
          </c:val>
          <c:smooth val="0"/>
        </c:ser>
        <c:ser>
          <c:idx val="9"/>
          <c:order val="9"/>
          <c:tx>
            <c:strRef>
              <c:f>GRAPH!$C$12:$D$12</c:f>
              <c:strCache>
                <c:ptCount val="2"/>
                <c:pt idx="0">
                  <c:v>L-35</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GRAPH!$D$12:$L$12</c:f>
              <c:numCache>
                <c:formatCode>General</c:formatCode>
                <c:ptCount val="9"/>
                <c:pt idx="1">
                  <c:v>58</c:v>
                </c:pt>
                <c:pt idx="2">
                  <c:v>48</c:v>
                </c:pt>
                <c:pt idx="3">
                  <c:v>41</c:v>
                </c:pt>
                <c:pt idx="4">
                  <c:v>35</c:v>
                </c:pt>
                <c:pt idx="5">
                  <c:v>32</c:v>
                </c:pt>
                <c:pt idx="6">
                  <c:v>31</c:v>
                </c:pt>
                <c:pt idx="7">
                  <c:v>31</c:v>
                </c:pt>
              </c:numCache>
            </c:numRef>
          </c:val>
          <c:smooth val="0"/>
        </c:ser>
        <c:ser>
          <c:idx val="10"/>
          <c:order val="10"/>
          <c:tx>
            <c:strRef>
              <c:f>GRAPH!$C$13:$D$13</c:f>
              <c:strCache>
                <c:ptCount val="2"/>
                <c:pt idx="0">
                  <c:v>L-30</c:v>
                </c:pt>
              </c:strCache>
            </c:strRef>
          </c:tx>
          <c:spPr>
            <a:ln w="3175">
              <a:solidFill>
                <a:srgbClr val="000000"/>
              </a:solidFill>
              <a:prstDash val="solid"/>
            </a:ln>
          </c:spPr>
          <c:marker>
            <c:symbol val="none"/>
          </c:marker>
          <c:dPt>
            <c:idx val="7"/>
            <c:bubble3D val="0"/>
            <c:spPr>
              <a:ln w="3175">
                <a:solidFill>
                  <a:srgbClr val="000000"/>
                </a:solidFill>
                <a:prstDash val="sysDash"/>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GRAPH!$D$13:$L$13</c:f>
              <c:numCache>
                <c:formatCode>General</c:formatCode>
                <c:ptCount val="9"/>
                <c:pt idx="1">
                  <c:v>53</c:v>
                </c:pt>
                <c:pt idx="2">
                  <c:v>43</c:v>
                </c:pt>
                <c:pt idx="3">
                  <c:v>36</c:v>
                </c:pt>
                <c:pt idx="4">
                  <c:v>30</c:v>
                </c:pt>
                <c:pt idx="5">
                  <c:v>27</c:v>
                </c:pt>
                <c:pt idx="6">
                  <c:v>26</c:v>
                </c:pt>
                <c:pt idx="7">
                  <c:v>26</c:v>
                </c:pt>
              </c:numCache>
            </c:numRef>
          </c:val>
          <c:smooth val="0"/>
        </c:ser>
        <c:ser>
          <c:idx val="11"/>
          <c:order val="11"/>
          <c:tx>
            <c:strRef>
              <c:f>GRAPH!$C$14</c:f>
              <c:strCache>
                <c:ptCount val="1"/>
                <c:pt idx="0">
                  <c:v>重量</c:v>
                </c:pt>
              </c:strCache>
            </c:strRef>
          </c:tx>
          <c:spPr>
            <a:ln w="12700">
              <a:solidFill>
                <a:srgbClr val="000000"/>
              </a:solidFill>
              <a:prstDash val="solid"/>
            </a:ln>
          </c:spPr>
          <c:marker>
            <c:symbol val="square"/>
            <c:size val="7"/>
            <c:spPr>
              <a:solidFill>
                <a:srgbClr val="000000"/>
              </a:solidFill>
              <a:ln>
                <a:solidFill>
                  <a:srgbClr val="000000"/>
                </a:solidFill>
                <a:prstDash val="solid"/>
              </a:ln>
            </c:spPr>
          </c:marker>
          <c:dPt>
            <c:idx val="1"/>
            <c:bubble3D val="0"/>
            <c:spPr>
              <a:ln w="12700">
                <a:noFill/>
                <a:prstDash val="solid"/>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GRAPH!$D$14:$L$14</c:f>
              <c:numCache>
                <c:formatCode>0.0_ </c:formatCode>
                <c:ptCount val="9"/>
                <c:pt idx="0" formatCode="General">
                  <c:v>0</c:v>
                </c:pt>
                <c:pt idx="1">
                  <c:v>0</c:v>
                </c:pt>
                <c:pt idx="2">
                  <c:v>0</c:v>
                </c:pt>
                <c:pt idx="3">
                  <c:v>0</c:v>
                </c:pt>
                <c:pt idx="4">
                  <c:v>0</c:v>
                </c:pt>
              </c:numCache>
            </c:numRef>
          </c:val>
          <c:smooth val="0"/>
        </c:ser>
        <c:dLbls>
          <c:showLegendKey val="0"/>
          <c:showVal val="0"/>
          <c:showCatName val="0"/>
          <c:showSerName val="0"/>
          <c:showPercent val="0"/>
          <c:showBubbleSize val="0"/>
        </c:dLbls>
        <c:smooth val="0"/>
        <c:axId val="481715984"/>
        <c:axId val="481715200"/>
      </c:lineChart>
      <c:catAx>
        <c:axId val="481715984"/>
        <c:scaling>
          <c:orientation val="minMax"/>
        </c:scaling>
        <c:delete val="0"/>
        <c:axPos val="b"/>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オクターブバンド中心周波数（</a:t>
                </a:r>
                <a:r>
                  <a:rPr lang="ja-JP" altLang="en-US" sz="1200" b="0" i="0" u="none" strike="noStrike" baseline="0">
                    <a:solidFill>
                      <a:srgbClr val="000000"/>
                    </a:solidFill>
                    <a:latin typeface="Arial"/>
                    <a:ea typeface="ＭＳ Ｐゴシック"/>
                    <a:cs typeface="Arial"/>
                  </a:rPr>
                  <a:t>Hz</a:t>
                </a:r>
                <a:r>
                  <a:rPr lang="ja-JP" altLang="en-US" sz="1200" b="0" i="0" u="none" strike="noStrike" baseline="0">
                    <a:solidFill>
                      <a:srgbClr val="000000"/>
                    </a:solidFill>
                    <a:latin typeface="ＭＳ Ｐゴシック"/>
                    <a:ea typeface="ＭＳ Ｐゴシック"/>
                    <a:cs typeface="Arial"/>
                  </a:rPr>
                  <a:t>）</a:t>
                </a:r>
                <a:endParaRPr lang="ja-JP" altLang="en-US"/>
              </a:p>
            </c:rich>
          </c:tx>
          <c:layout>
            <c:manualLayout>
              <c:xMode val="edge"/>
              <c:yMode val="edge"/>
              <c:x val="0.27146179949263666"/>
              <c:y val="0.9557536159043948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ja-JP"/>
          </a:p>
        </c:txPr>
        <c:crossAx val="481715200"/>
        <c:crosses val="autoZero"/>
        <c:auto val="1"/>
        <c:lblAlgn val="ctr"/>
        <c:lblOffset val="100"/>
        <c:tickLblSkip val="1"/>
        <c:tickMarkSkip val="1"/>
        <c:noMultiLvlLbl val="0"/>
      </c:catAx>
      <c:valAx>
        <c:axId val="481715200"/>
        <c:scaling>
          <c:orientation val="minMax"/>
          <c:max val="110"/>
          <c:min val="10"/>
        </c:scaling>
        <c:delete val="0"/>
        <c:axPos val="l"/>
        <c:majorGridlines>
          <c:spPr>
            <a:ln w="3175">
              <a:solidFill>
                <a:srgbClr val="000000"/>
              </a:solidFill>
              <a:prstDash val="solid"/>
            </a:ln>
          </c:spPr>
        </c:majorGridlines>
        <c:minorGridlines>
          <c:spPr>
            <a:ln w="3175">
              <a:solidFill>
                <a:srgbClr val="C0C0C0"/>
              </a:solidFill>
              <a:prstDash val="sysDash"/>
            </a:ln>
          </c:spPr>
        </c:min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床衝撃音レベル（</a:t>
                </a:r>
                <a:r>
                  <a:rPr lang="ja-JP" altLang="en-US" sz="1200" b="0" i="0" u="none" strike="noStrike" baseline="0">
                    <a:solidFill>
                      <a:srgbClr val="000000"/>
                    </a:solidFill>
                    <a:latin typeface="Arial"/>
                    <a:ea typeface="ＭＳ Ｐゴシック"/>
                    <a:cs typeface="Arial"/>
                  </a:rPr>
                  <a:t>dB</a:t>
                </a:r>
                <a:r>
                  <a:rPr lang="ja-JP" altLang="en-US" sz="1200" b="0" i="0" u="none" strike="noStrike" baseline="0">
                    <a:solidFill>
                      <a:srgbClr val="000000"/>
                    </a:solidFill>
                    <a:latin typeface="ＭＳ Ｐゴシック"/>
                    <a:ea typeface="ＭＳ Ｐゴシック"/>
                    <a:cs typeface="Arial"/>
                  </a:rPr>
                  <a:t>）</a:t>
                </a:r>
                <a:endParaRPr lang="ja-JP" altLang="en-US"/>
              </a:p>
            </c:rich>
          </c:tx>
          <c:layout>
            <c:manualLayout>
              <c:xMode val="edge"/>
              <c:yMode val="edge"/>
              <c:x val="1.1600830230949166E-2"/>
              <c:y val="0.3643072541464231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ja-JP"/>
          </a:p>
        </c:txPr>
        <c:crossAx val="481715984"/>
        <c:crosses val="autoZero"/>
        <c:crossBetween val="midCat"/>
        <c:majorUnit val="10"/>
        <c:minorUnit val="1"/>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8340250658109"/>
          <c:y val="5.7180851063829786E-2"/>
          <c:w val="0.81171631034697633"/>
          <c:h val="0.86702127659574468"/>
        </c:manualLayout>
      </c:layout>
      <c:lineChart>
        <c:grouping val="standard"/>
        <c:varyColors val="0"/>
        <c:ser>
          <c:idx val="0"/>
          <c:order val="0"/>
          <c:tx>
            <c:strRef>
              <c:f>GRAPH!$C$3</c:f>
              <c:strCache>
                <c:ptCount val="1"/>
                <c:pt idx="0">
                  <c:v>L-80</c:v>
                </c:pt>
              </c:strCache>
            </c:strRef>
          </c:tx>
          <c:spPr>
            <a:ln w="3175">
              <a:solidFill>
                <a:srgbClr val="000000"/>
              </a:solidFill>
              <a:prstDash val="solid"/>
            </a:ln>
          </c:spPr>
          <c:marker>
            <c:symbol val="none"/>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GRAPH!$D$3:$L$3</c:f>
              <c:numCache>
                <c:formatCode>General</c:formatCode>
                <c:ptCount val="9"/>
                <c:pt idx="1">
                  <c:v>103</c:v>
                </c:pt>
                <c:pt idx="2">
                  <c:v>93</c:v>
                </c:pt>
                <c:pt idx="3">
                  <c:v>86</c:v>
                </c:pt>
                <c:pt idx="4">
                  <c:v>80</c:v>
                </c:pt>
                <c:pt idx="5">
                  <c:v>77</c:v>
                </c:pt>
                <c:pt idx="6">
                  <c:v>76</c:v>
                </c:pt>
                <c:pt idx="7">
                  <c:v>76</c:v>
                </c:pt>
              </c:numCache>
            </c:numRef>
          </c:val>
          <c:smooth val="0"/>
        </c:ser>
        <c:ser>
          <c:idx val="1"/>
          <c:order val="1"/>
          <c:tx>
            <c:strRef>
              <c:f>GRAPH!$C$4:$D$4</c:f>
              <c:strCache>
                <c:ptCount val="2"/>
                <c:pt idx="0">
                  <c:v>L-75</c:v>
                </c:pt>
              </c:strCache>
            </c:strRef>
          </c:tx>
          <c:spPr>
            <a:ln w="3175">
              <a:solidFill>
                <a:srgbClr val="000000"/>
              </a:solidFill>
              <a:prstDash val="solid"/>
            </a:ln>
          </c:spPr>
          <c:marker>
            <c:symbol val="none"/>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GRAPH!$D$4:$L$4</c:f>
              <c:numCache>
                <c:formatCode>General</c:formatCode>
                <c:ptCount val="9"/>
                <c:pt idx="1">
                  <c:v>98</c:v>
                </c:pt>
                <c:pt idx="2">
                  <c:v>88</c:v>
                </c:pt>
                <c:pt idx="3">
                  <c:v>81</c:v>
                </c:pt>
                <c:pt idx="4">
                  <c:v>75</c:v>
                </c:pt>
                <c:pt idx="5">
                  <c:v>72</c:v>
                </c:pt>
                <c:pt idx="6">
                  <c:v>71</c:v>
                </c:pt>
                <c:pt idx="7">
                  <c:v>71</c:v>
                </c:pt>
              </c:numCache>
            </c:numRef>
          </c:val>
          <c:smooth val="0"/>
        </c:ser>
        <c:ser>
          <c:idx val="2"/>
          <c:order val="2"/>
          <c:tx>
            <c:strRef>
              <c:f>GRAPH!$C$5:$D$5</c:f>
              <c:strCache>
                <c:ptCount val="2"/>
                <c:pt idx="0">
                  <c:v>L-70</c:v>
                </c:pt>
              </c:strCache>
            </c:strRef>
          </c:tx>
          <c:spPr>
            <a:ln w="3175">
              <a:solidFill>
                <a:srgbClr val="000000"/>
              </a:solidFill>
              <a:prstDash val="solid"/>
            </a:ln>
          </c:spPr>
          <c:marker>
            <c:symbol val="none"/>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GRAPH!$D$5:$L$5</c:f>
              <c:numCache>
                <c:formatCode>General</c:formatCode>
                <c:ptCount val="9"/>
                <c:pt idx="1">
                  <c:v>93</c:v>
                </c:pt>
                <c:pt idx="2">
                  <c:v>83</c:v>
                </c:pt>
                <c:pt idx="3">
                  <c:v>76</c:v>
                </c:pt>
                <c:pt idx="4">
                  <c:v>70</c:v>
                </c:pt>
                <c:pt idx="5">
                  <c:v>67</c:v>
                </c:pt>
                <c:pt idx="6">
                  <c:v>66</c:v>
                </c:pt>
                <c:pt idx="7">
                  <c:v>66</c:v>
                </c:pt>
              </c:numCache>
            </c:numRef>
          </c:val>
          <c:smooth val="0"/>
        </c:ser>
        <c:ser>
          <c:idx val="3"/>
          <c:order val="3"/>
          <c:tx>
            <c:strRef>
              <c:f>GRAPH!$C$6:$D$6</c:f>
              <c:strCache>
                <c:ptCount val="2"/>
                <c:pt idx="0">
                  <c:v>L-65</c:v>
                </c:pt>
              </c:strCache>
            </c:strRef>
          </c:tx>
          <c:spPr>
            <a:ln w="3175">
              <a:solidFill>
                <a:srgbClr val="000000"/>
              </a:solidFill>
              <a:prstDash val="solid"/>
            </a:ln>
          </c:spPr>
          <c:marker>
            <c:symbol val="none"/>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GRAPH!$D$6:$L$6</c:f>
              <c:numCache>
                <c:formatCode>General</c:formatCode>
                <c:ptCount val="9"/>
                <c:pt idx="1">
                  <c:v>88</c:v>
                </c:pt>
                <c:pt idx="2">
                  <c:v>78</c:v>
                </c:pt>
                <c:pt idx="3">
                  <c:v>71</c:v>
                </c:pt>
                <c:pt idx="4">
                  <c:v>65</c:v>
                </c:pt>
                <c:pt idx="5">
                  <c:v>62</c:v>
                </c:pt>
                <c:pt idx="6">
                  <c:v>61</c:v>
                </c:pt>
                <c:pt idx="7">
                  <c:v>61</c:v>
                </c:pt>
              </c:numCache>
            </c:numRef>
          </c:val>
          <c:smooth val="0"/>
        </c:ser>
        <c:ser>
          <c:idx val="4"/>
          <c:order val="4"/>
          <c:tx>
            <c:strRef>
              <c:f>GRAPH!$C$7:$D$7</c:f>
              <c:strCache>
                <c:ptCount val="2"/>
                <c:pt idx="0">
                  <c:v>L-60</c:v>
                </c:pt>
              </c:strCache>
            </c:strRef>
          </c:tx>
          <c:spPr>
            <a:ln w="3175">
              <a:solidFill>
                <a:srgbClr val="000000"/>
              </a:solidFill>
              <a:prstDash val="solid"/>
            </a:ln>
          </c:spPr>
          <c:marker>
            <c:symbol val="none"/>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GRAPH!$D$7:$L$7</c:f>
              <c:numCache>
                <c:formatCode>General</c:formatCode>
                <c:ptCount val="9"/>
                <c:pt idx="1">
                  <c:v>83</c:v>
                </c:pt>
                <c:pt idx="2">
                  <c:v>73</c:v>
                </c:pt>
                <c:pt idx="3">
                  <c:v>66</c:v>
                </c:pt>
                <c:pt idx="4">
                  <c:v>60</c:v>
                </c:pt>
                <c:pt idx="5">
                  <c:v>57</c:v>
                </c:pt>
                <c:pt idx="6">
                  <c:v>56</c:v>
                </c:pt>
                <c:pt idx="7">
                  <c:v>56</c:v>
                </c:pt>
              </c:numCache>
            </c:numRef>
          </c:val>
          <c:smooth val="0"/>
        </c:ser>
        <c:ser>
          <c:idx val="5"/>
          <c:order val="5"/>
          <c:tx>
            <c:strRef>
              <c:f>GRAPH!$C$8:$D$8</c:f>
              <c:strCache>
                <c:ptCount val="2"/>
                <c:pt idx="0">
                  <c:v>L-55</c:v>
                </c:pt>
              </c:strCache>
            </c:strRef>
          </c:tx>
          <c:spPr>
            <a:ln w="3175">
              <a:solidFill>
                <a:srgbClr val="000000"/>
              </a:solidFill>
              <a:prstDash val="solid"/>
            </a:ln>
          </c:spPr>
          <c:marker>
            <c:symbol val="none"/>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GRAPH!$D$8:$L$8</c:f>
              <c:numCache>
                <c:formatCode>General</c:formatCode>
                <c:ptCount val="9"/>
                <c:pt idx="1">
                  <c:v>78</c:v>
                </c:pt>
                <c:pt idx="2">
                  <c:v>68</c:v>
                </c:pt>
                <c:pt idx="3">
                  <c:v>61</c:v>
                </c:pt>
                <c:pt idx="4">
                  <c:v>55</c:v>
                </c:pt>
                <c:pt idx="5">
                  <c:v>52</c:v>
                </c:pt>
                <c:pt idx="6">
                  <c:v>51</c:v>
                </c:pt>
                <c:pt idx="7">
                  <c:v>51</c:v>
                </c:pt>
              </c:numCache>
            </c:numRef>
          </c:val>
          <c:smooth val="0"/>
        </c:ser>
        <c:ser>
          <c:idx val="6"/>
          <c:order val="6"/>
          <c:tx>
            <c:strRef>
              <c:f>GRAPH!$C$9:$D$9</c:f>
              <c:strCache>
                <c:ptCount val="2"/>
                <c:pt idx="0">
                  <c:v>L-50</c:v>
                </c:pt>
              </c:strCache>
            </c:strRef>
          </c:tx>
          <c:spPr>
            <a:ln w="3175">
              <a:solidFill>
                <a:srgbClr val="000000"/>
              </a:solidFill>
              <a:prstDash val="solid"/>
            </a:ln>
          </c:spPr>
          <c:marker>
            <c:symbol val="none"/>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GRAPH!$D$9:$L$9</c:f>
              <c:numCache>
                <c:formatCode>General</c:formatCode>
                <c:ptCount val="9"/>
                <c:pt idx="1">
                  <c:v>73</c:v>
                </c:pt>
                <c:pt idx="2">
                  <c:v>63</c:v>
                </c:pt>
                <c:pt idx="3">
                  <c:v>56</c:v>
                </c:pt>
                <c:pt idx="4">
                  <c:v>50</c:v>
                </c:pt>
                <c:pt idx="5">
                  <c:v>47</c:v>
                </c:pt>
                <c:pt idx="6">
                  <c:v>46</c:v>
                </c:pt>
                <c:pt idx="7">
                  <c:v>46</c:v>
                </c:pt>
              </c:numCache>
            </c:numRef>
          </c:val>
          <c:smooth val="0"/>
        </c:ser>
        <c:ser>
          <c:idx val="7"/>
          <c:order val="7"/>
          <c:tx>
            <c:strRef>
              <c:f>GRAPH!$C$10:$D$10</c:f>
              <c:strCache>
                <c:ptCount val="2"/>
                <c:pt idx="0">
                  <c:v>L-45</c:v>
                </c:pt>
              </c:strCache>
            </c:strRef>
          </c:tx>
          <c:spPr>
            <a:ln w="3175">
              <a:solidFill>
                <a:srgbClr val="000000"/>
              </a:solidFill>
              <a:prstDash val="solid"/>
            </a:ln>
          </c:spPr>
          <c:marker>
            <c:symbol val="none"/>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GRAPH!$D$10:$L$10</c:f>
              <c:numCache>
                <c:formatCode>General</c:formatCode>
                <c:ptCount val="9"/>
                <c:pt idx="1">
                  <c:v>68</c:v>
                </c:pt>
                <c:pt idx="2">
                  <c:v>58</c:v>
                </c:pt>
                <c:pt idx="3">
                  <c:v>51</c:v>
                </c:pt>
                <c:pt idx="4">
                  <c:v>45</c:v>
                </c:pt>
                <c:pt idx="5">
                  <c:v>42</c:v>
                </c:pt>
                <c:pt idx="6">
                  <c:v>41</c:v>
                </c:pt>
                <c:pt idx="7">
                  <c:v>41</c:v>
                </c:pt>
              </c:numCache>
            </c:numRef>
          </c:val>
          <c:smooth val="0"/>
        </c:ser>
        <c:ser>
          <c:idx val="8"/>
          <c:order val="8"/>
          <c:tx>
            <c:strRef>
              <c:f>GRAPH!$C$11:$D$11</c:f>
              <c:strCache>
                <c:ptCount val="2"/>
                <c:pt idx="0">
                  <c:v>L-40</c:v>
                </c:pt>
              </c:strCache>
            </c:strRef>
          </c:tx>
          <c:spPr>
            <a:ln w="3175">
              <a:solidFill>
                <a:srgbClr val="000000"/>
              </a:solidFill>
              <a:prstDash val="solid"/>
            </a:ln>
          </c:spPr>
          <c:marker>
            <c:symbol val="none"/>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GRAPH!$D$11:$L$11</c:f>
              <c:numCache>
                <c:formatCode>General</c:formatCode>
                <c:ptCount val="9"/>
                <c:pt idx="1">
                  <c:v>63</c:v>
                </c:pt>
                <c:pt idx="2">
                  <c:v>53</c:v>
                </c:pt>
                <c:pt idx="3">
                  <c:v>46</c:v>
                </c:pt>
                <c:pt idx="4">
                  <c:v>40</c:v>
                </c:pt>
                <c:pt idx="5">
                  <c:v>37</c:v>
                </c:pt>
                <c:pt idx="6">
                  <c:v>36</c:v>
                </c:pt>
                <c:pt idx="7">
                  <c:v>36</c:v>
                </c:pt>
              </c:numCache>
            </c:numRef>
          </c:val>
          <c:smooth val="0"/>
        </c:ser>
        <c:ser>
          <c:idx val="9"/>
          <c:order val="9"/>
          <c:tx>
            <c:strRef>
              <c:f>GRAPH!$C$12:$D$12</c:f>
              <c:strCache>
                <c:ptCount val="2"/>
                <c:pt idx="0">
                  <c:v>L-35</c:v>
                </c:pt>
              </c:strCache>
            </c:strRef>
          </c:tx>
          <c:spPr>
            <a:ln w="3175">
              <a:solidFill>
                <a:srgbClr val="000000"/>
              </a:solidFill>
              <a:prstDash val="solid"/>
            </a:ln>
          </c:spPr>
          <c:marker>
            <c:symbol val="none"/>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GRAPH!$D$12:$L$12</c:f>
              <c:numCache>
                <c:formatCode>General</c:formatCode>
                <c:ptCount val="9"/>
                <c:pt idx="1">
                  <c:v>58</c:v>
                </c:pt>
                <c:pt idx="2">
                  <c:v>48</c:v>
                </c:pt>
                <c:pt idx="3">
                  <c:v>41</c:v>
                </c:pt>
                <c:pt idx="4">
                  <c:v>35</c:v>
                </c:pt>
                <c:pt idx="5">
                  <c:v>32</c:v>
                </c:pt>
                <c:pt idx="6">
                  <c:v>31</c:v>
                </c:pt>
                <c:pt idx="7">
                  <c:v>31</c:v>
                </c:pt>
              </c:numCache>
            </c:numRef>
          </c:val>
          <c:smooth val="0"/>
        </c:ser>
        <c:ser>
          <c:idx val="10"/>
          <c:order val="10"/>
          <c:tx>
            <c:strRef>
              <c:f>GRAPH!$C$13:$D$13</c:f>
              <c:strCache>
                <c:ptCount val="2"/>
                <c:pt idx="0">
                  <c:v>L-30</c:v>
                </c:pt>
              </c:strCache>
            </c:strRef>
          </c:tx>
          <c:spPr>
            <a:ln w="3175">
              <a:solidFill>
                <a:srgbClr val="000000"/>
              </a:solidFill>
              <a:prstDash val="solid"/>
            </a:ln>
          </c:spPr>
          <c:marker>
            <c:symbol val="none"/>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GRAPH!$D$13:$L$13</c:f>
              <c:numCache>
                <c:formatCode>General</c:formatCode>
                <c:ptCount val="9"/>
                <c:pt idx="1">
                  <c:v>53</c:v>
                </c:pt>
                <c:pt idx="2">
                  <c:v>43</c:v>
                </c:pt>
                <c:pt idx="3">
                  <c:v>36</c:v>
                </c:pt>
                <c:pt idx="4">
                  <c:v>30</c:v>
                </c:pt>
                <c:pt idx="5">
                  <c:v>27</c:v>
                </c:pt>
                <c:pt idx="6">
                  <c:v>26</c:v>
                </c:pt>
                <c:pt idx="7">
                  <c:v>26</c:v>
                </c:pt>
              </c:numCache>
            </c:numRef>
          </c:val>
          <c:smooth val="0"/>
        </c:ser>
        <c:ser>
          <c:idx val="11"/>
          <c:order val="11"/>
          <c:tx>
            <c:strRef>
              <c:f>GRAPH!$C$14</c:f>
              <c:strCache>
                <c:ptCount val="1"/>
                <c:pt idx="0">
                  <c:v>重量</c:v>
                </c:pt>
              </c:strCache>
            </c:strRef>
          </c:tx>
          <c:spPr>
            <a:ln w="12700">
              <a:solidFill>
                <a:srgbClr val="000000"/>
              </a:solidFill>
              <a:prstDash val="solid"/>
            </a:ln>
          </c:spPr>
          <c:marker>
            <c:symbol val="square"/>
            <c:size val="7"/>
            <c:spPr>
              <a:solidFill>
                <a:srgbClr val="000000"/>
              </a:solidFill>
              <a:ln>
                <a:solidFill>
                  <a:srgbClr val="000000"/>
                </a:solidFill>
                <a:prstDash val="solid"/>
              </a:ln>
            </c:spPr>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GRAPH!$D$14:$L$14</c:f>
              <c:numCache>
                <c:formatCode>0.0_ </c:formatCode>
                <c:ptCount val="9"/>
                <c:pt idx="0" formatCode="General">
                  <c:v>0</c:v>
                </c:pt>
                <c:pt idx="1">
                  <c:v>0</c:v>
                </c:pt>
                <c:pt idx="2">
                  <c:v>0</c:v>
                </c:pt>
                <c:pt idx="3">
                  <c:v>0</c:v>
                </c:pt>
                <c:pt idx="4">
                  <c:v>0</c:v>
                </c:pt>
              </c:numCache>
            </c:numRef>
          </c:val>
          <c:smooth val="0"/>
        </c:ser>
        <c:dLbls>
          <c:showLegendKey val="0"/>
          <c:showVal val="0"/>
          <c:showCatName val="0"/>
          <c:showSerName val="0"/>
          <c:showPercent val="0"/>
          <c:showBubbleSize val="0"/>
        </c:dLbls>
        <c:smooth val="0"/>
        <c:axId val="481718728"/>
        <c:axId val="481713240"/>
      </c:lineChart>
      <c:catAx>
        <c:axId val="481718728"/>
        <c:scaling>
          <c:orientation val="minMax"/>
        </c:scaling>
        <c:delete val="0"/>
        <c:axPos val="b"/>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オクターブバンド中心周波数（</a:t>
                </a:r>
                <a:r>
                  <a:rPr lang="ja-JP" altLang="en-US" sz="1200" b="0" i="0" u="none" strike="noStrike" baseline="0">
                    <a:solidFill>
                      <a:srgbClr val="000000"/>
                    </a:solidFill>
                    <a:latin typeface="Arial"/>
                    <a:ea typeface="ＭＳ Ｐゴシック"/>
                    <a:cs typeface="Arial"/>
                  </a:rPr>
                  <a:t>Hz</a:t>
                </a:r>
                <a:r>
                  <a:rPr lang="ja-JP" altLang="en-US" sz="1200" b="0" i="0" u="none" strike="noStrike" baseline="0">
                    <a:solidFill>
                      <a:srgbClr val="000000"/>
                    </a:solidFill>
                    <a:latin typeface="ＭＳ Ｐゴシック"/>
                    <a:ea typeface="ＭＳ Ｐゴシック"/>
                    <a:cs typeface="Arial"/>
                  </a:rPr>
                  <a:t>）</a:t>
                </a:r>
                <a:endParaRPr lang="ja-JP" altLang="en-US"/>
              </a:p>
            </c:rich>
          </c:tx>
          <c:layout>
            <c:manualLayout>
              <c:xMode val="edge"/>
              <c:yMode val="edge"/>
              <c:x val="0.27146179949263666"/>
              <c:y val="0.9557536159043948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ja-JP"/>
          </a:p>
        </c:txPr>
        <c:crossAx val="481713240"/>
        <c:crosses val="autoZero"/>
        <c:auto val="1"/>
        <c:lblAlgn val="ctr"/>
        <c:lblOffset val="100"/>
        <c:tickLblSkip val="1"/>
        <c:tickMarkSkip val="1"/>
        <c:noMultiLvlLbl val="0"/>
      </c:catAx>
      <c:valAx>
        <c:axId val="481713240"/>
        <c:scaling>
          <c:orientation val="minMax"/>
          <c:max val="110"/>
          <c:min val="10"/>
        </c:scaling>
        <c:delete val="0"/>
        <c:axPos val="l"/>
        <c:majorGridlines>
          <c:spPr>
            <a:ln w="3175">
              <a:solidFill>
                <a:srgbClr val="000000"/>
              </a:solidFill>
              <a:prstDash val="solid"/>
            </a:ln>
          </c:spPr>
        </c:majorGridlines>
        <c:minorGridlines>
          <c:spPr>
            <a:ln w="3175">
              <a:solidFill>
                <a:srgbClr val="C0C0C0"/>
              </a:solidFill>
              <a:prstDash val="sysDash"/>
            </a:ln>
          </c:spPr>
        </c:min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床衝撃音レベル（</a:t>
                </a:r>
                <a:r>
                  <a:rPr lang="ja-JP" altLang="en-US" sz="1200" b="0" i="0" u="none" strike="noStrike" baseline="0">
                    <a:solidFill>
                      <a:srgbClr val="000000"/>
                    </a:solidFill>
                    <a:latin typeface="Arial"/>
                    <a:ea typeface="ＭＳ Ｐゴシック"/>
                    <a:cs typeface="Arial"/>
                  </a:rPr>
                  <a:t>dB</a:t>
                </a:r>
                <a:r>
                  <a:rPr lang="ja-JP" altLang="en-US" sz="1200" b="0" i="0" u="none" strike="noStrike" baseline="0">
                    <a:solidFill>
                      <a:srgbClr val="000000"/>
                    </a:solidFill>
                    <a:latin typeface="ＭＳ Ｐゴシック"/>
                    <a:ea typeface="ＭＳ Ｐゴシック"/>
                    <a:cs typeface="Arial"/>
                  </a:rPr>
                  <a:t>）</a:t>
                </a:r>
                <a:endParaRPr lang="ja-JP" altLang="en-US"/>
              </a:p>
            </c:rich>
          </c:tx>
          <c:layout>
            <c:manualLayout>
              <c:xMode val="edge"/>
              <c:yMode val="edge"/>
              <c:x val="1.1600830230949166E-2"/>
              <c:y val="0.3643072541464231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ja-JP"/>
          </a:p>
        </c:txPr>
        <c:crossAx val="481718728"/>
        <c:crosses val="autoZero"/>
        <c:crossBetween val="midCat"/>
        <c:majorUnit val="10"/>
        <c:minorUnit val="1"/>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73253833049404"/>
          <c:y val="3.0712549135579709E-2"/>
          <c:w val="0.85519591141396933"/>
          <c:h val="0.89312092886265793"/>
        </c:manualLayout>
      </c:layout>
      <c:lineChart>
        <c:grouping val="standard"/>
        <c:varyColors val="0"/>
        <c:ser>
          <c:idx val="0"/>
          <c:order val="0"/>
          <c:tx>
            <c:strRef>
              <c:f>GRAPH!$C$3</c:f>
              <c:strCache>
                <c:ptCount val="1"/>
                <c:pt idx="0">
                  <c:v>L-80</c:v>
                </c:pt>
              </c:strCache>
            </c:strRef>
          </c:tx>
          <c:spPr>
            <a:ln w="3175">
              <a:solidFill>
                <a:srgbClr val="000000"/>
              </a:solidFill>
              <a:prstDash val="solid"/>
            </a:ln>
          </c:spPr>
          <c:marker>
            <c:symbol val="none"/>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GRAPH!$D$3:$L$3</c:f>
              <c:numCache>
                <c:formatCode>General</c:formatCode>
                <c:ptCount val="9"/>
                <c:pt idx="1">
                  <c:v>103</c:v>
                </c:pt>
                <c:pt idx="2">
                  <c:v>93</c:v>
                </c:pt>
                <c:pt idx="3">
                  <c:v>86</c:v>
                </c:pt>
                <c:pt idx="4">
                  <c:v>80</c:v>
                </c:pt>
                <c:pt idx="5">
                  <c:v>77</c:v>
                </c:pt>
                <c:pt idx="6">
                  <c:v>76</c:v>
                </c:pt>
                <c:pt idx="7">
                  <c:v>76</c:v>
                </c:pt>
              </c:numCache>
            </c:numRef>
          </c:val>
          <c:smooth val="0"/>
        </c:ser>
        <c:ser>
          <c:idx val="1"/>
          <c:order val="1"/>
          <c:tx>
            <c:strRef>
              <c:f>GRAPH!$C$4:$D$4</c:f>
              <c:strCache>
                <c:ptCount val="2"/>
                <c:pt idx="0">
                  <c:v>L-75</c:v>
                </c:pt>
              </c:strCache>
            </c:strRef>
          </c:tx>
          <c:spPr>
            <a:ln w="3175">
              <a:solidFill>
                <a:srgbClr val="000000"/>
              </a:solidFill>
              <a:prstDash val="solid"/>
            </a:ln>
          </c:spPr>
          <c:marker>
            <c:symbol val="none"/>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GRAPH!$D$4:$L$4</c:f>
              <c:numCache>
                <c:formatCode>General</c:formatCode>
                <c:ptCount val="9"/>
                <c:pt idx="1">
                  <c:v>98</c:v>
                </c:pt>
                <c:pt idx="2">
                  <c:v>88</c:v>
                </c:pt>
                <c:pt idx="3">
                  <c:v>81</c:v>
                </c:pt>
                <c:pt idx="4">
                  <c:v>75</c:v>
                </c:pt>
                <c:pt idx="5">
                  <c:v>72</c:v>
                </c:pt>
                <c:pt idx="6">
                  <c:v>71</c:v>
                </c:pt>
                <c:pt idx="7">
                  <c:v>71</c:v>
                </c:pt>
              </c:numCache>
            </c:numRef>
          </c:val>
          <c:smooth val="0"/>
        </c:ser>
        <c:ser>
          <c:idx val="2"/>
          <c:order val="2"/>
          <c:tx>
            <c:strRef>
              <c:f>GRAPH!$C$5:$D$5</c:f>
              <c:strCache>
                <c:ptCount val="2"/>
                <c:pt idx="0">
                  <c:v>L-70</c:v>
                </c:pt>
              </c:strCache>
            </c:strRef>
          </c:tx>
          <c:spPr>
            <a:ln w="3175">
              <a:solidFill>
                <a:srgbClr val="000000"/>
              </a:solidFill>
              <a:prstDash val="solid"/>
            </a:ln>
          </c:spPr>
          <c:marker>
            <c:symbol val="none"/>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GRAPH!$D$5:$L$5</c:f>
              <c:numCache>
                <c:formatCode>General</c:formatCode>
                <c:ptCount val="9"/>
                <c:pt idx="1">
                  <c:v>93</c:v>
                </c:pt>
                <c:pt idx="2">
                  <c:v>83</c:v>
                </c:pt>
                <c:pt idx="3">
                  <c:v>76</c:v>
                </c:pt>
                <c:pt idx="4">
                  <c:v>70</c:v>
                </c:pt>
                <c:pt idx="5">
                  <c:v>67</c:v>
                </c:pt>
                <c:pt idx="6">
                  <c:v>66</c:v>
                </c:pt>
                <c:pt idx="7">
                  <c:v>66</c:v>
                </c:pt>
              </c:numCache>
            </c:numRef>
          </c:val>
          <c:smooth val="0"/>
        </c:ser>
        <c:ser>
          <c:idx val="3"/>
          <c:order val="3"/>
          <c:tx>
            <c:strRef>
              <c:f>GRAPH!$C$6:$D$6</c:f>
              <c:strCache>
                <c:ptCount val="2"/>
                <c:pt idx="0">
                  <c:v>L-65</c:v>
                </c:pt>
              </c:strCache>
            </c:strRef>
          </c:tx>
          <c:spPr>
            <a:ln w="3175">
              <a:solidFill>
                <a:srgbClr val="000000"/>
              </a:solidFill>
              <a:prstDash val="solid"/>
            </a:ln>
          </c:spPr>
          <c:marker>
            <c:symbol val="none"/>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GRAPH!$D$6:$L$6</c:f>
              <c:numCache>
                <c:formatCode>General</c:formatCode>
                <c:ptCount val="9"/>
                <c:pt idx="1">
                  <c:v>88</c:v>
                </c:pt>
                <c:pt idx="2">
                  <c:v>78</c:v>
                </c:pt>
                <c:pt idx="3">
                  <c:v>71</c:v>
                </c:pt>
                <c:pt idx="4">
                  <c:v>65</c:v>
                </c:pt>
                <c:pt idx="5">
                  <c:v>62</c:v>
                </c:pt>
                <c:pt idx="6">
                  <c:v>61</c:v>
                </c:pt>
                <c:pt idx="7">
                  <c:v>61</c:v>
                </c:pt>
              </c:numCache>
            </c:numRef>
          </c:val>
          <c:smooth val="0"/>
        </c:ser>
        <c:ser>
          <c:idx val="4"/>
          <c:order val="4"/>
          <c:tx>
            <c:strRef>
              <c:f>GRAPH!$C$7:$D$7</c:f>
              <c:strCache>
                <c:ptCount val="2"/>
                <c:pt idx="0">
                  <c:v>L-60</c:v>
                </c:pt>
              </c:strCache>
            </c:strRef>
          </c:tx>
          <c:spPr>
            <a:ln w="3175">
              <a:solidFill>
                <a:srgbClr val="000000"/>
              </a:solidFill>
              <a:prstDash val="solid"/>
            </a:ln>
          </c:spPr>
          <c:marker>
            <c:symbol val="none"/>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GRAPH!$D$7:$L$7</c:f>
              <c:numCache>
                <c:formatCode>General</c:formatCode>
                <c:ptCount val="9"/>
                <c:pt idx="1">
                  <c:v>83</c:v>
                </c:pt>
                <c:pt idx="2">
                  <c:v>73</c:v>
                </c:pt>
                <c:pt idx="3">
                  <c:v>66</c:v>
                </c:pt>
                <c:pt idx="4">
                  <c:v>60</c:v>
                </c:pt>
                <c:pt idx="5">
                  <c:v>57</c:v>
                </c:pt>
                <c:pt idx="6">
                  <c:v>56</c:v>
                </c:pt>
                <c:pt idx="7">
                  <c:v>56</c:v>
                </c:pt>
              </c:numCache>
            </c:numRef>
          </c:val>
          <c:smooth val="0"/>
        </c:ser>
        <c:ser>
          <c:idx val="5"/>
          <c:order val="5"/>
          <c:tx>
            <c:strRef>
              <c:f>GRAPH!$C$8:$D$8</c:f>
              <c:strCache>
                <c:ptCount val="2"/>
                <c:pt idx="0">
                  <c:v>L-55</c:v>
                </c:pt>
              </c:strCache>
            </c:strRef>
          </c:tx>
          <c:spPr>
            <a:ln w="3175">
              <a:solidFill>
                <a:srgbClr val="000000"/>
              </a:solidFill>
              <a:prstDash val="solid"/>
            </a:ln>
          </c:spPr>
          <c:marker>
            <c:symbol val="none"/>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GRAPH!$D$8:$L$8</c:f>
              <c:numCache>
                <c:formatCode>General</c:formatCode>
                <c:ptCount val="9"/>
                <c:pt idx="1">
                  <c:v>78</c:v>
                </c:pt>
                <c:pt idx="2">
                  <c:v>68</c:v>
                </c:pt>
                <c:pt idx="3">
                  <c:v>61</c:v>
                </c:pt>
                <c:pt idx="4">
                  <c:v>55</c:v>
                </c:pt>
                <c:pt idx="5">
                  <c:v>52</c:v>
                </c:pt>
                <c:pt idx="6">
                  <c:v>51</c:v>
                </c:pt>
                <c:pt idx="7">
                  <c:v>51</c:v>
                </c:pt>
              </c:numCache>
            </c:numRef>
          </c:val>
          <c:smooth val="0"/>
        </c:ser>
        <c:ser>
          <c:idx val="6"/>
          <c:order val="6"/>
          <c:tx>
            <c:strRef>
              <c:f>GRAPH!$C$9:$D$9</c:f>
              <c:strCache>
                <c:ptCount val="2"/>
                <c:pt idx="0">
                  <c:v>L-50</c:v>
                </c:pt>
              </c:strCache>
            </c:strRef>
          </c:tx>
          <c:spPr>
            <a:ln w="3175">
              <a:solidFill>
                <a:srgbClr val="000000"/>
              </a:solidFill>
              <a:prstDash val="solid"/>
            </a:ln>
          </c:spPr>
          <c:marker>
            <c:symbol val="none"/>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GRAPH!$D$9:$L$9</c:f>
              <c:numCache>
                <c:formatCode>General</c:formatCode>
                <c:ptCount val="9"/>
                <c:pt idx="1">
                  <c:v>73</c:v>
                </c:pt>
                <c:pt idx="2">
                  <c:v>63</c:v>
                </c:pt>
                <c:pt idx="3">
                  <c:v>56</c:v>
                </c:pt>
                <c:pt idx="4">
                  <c:v>50</c:v>
                </c:pt>
                <c:pt idx="5">
                  <c:v>47</c:v>
                </c:pt>
                <c:pt idx="6">
                  <c:v>46</c:v>
                </c:pt>
                <c:pt idx="7">
                  <c:v>46</c:v>
                </c:pt>
              </c:numCache>
            </c:numRef>
          </c:val>
          <c:smooth val="0"/>
        </c:ser>
        <c:ser>
          <c:idx val="7"/>
          <c:order val="7"/>
          <c:tx>
            <c:strRef>
              <c:f>GRAPH!$C$10:$D$10</c:f>
              <c:strCache>
                <c:ptCount val="2"/>
                <c:pt idx="0">
                  <c:v>L-45</c:v>
                </c:pt>
              </c:strCache>
            </c:strRef>
          </c:tx>
          <c:spPr>
            <a:ln w="3175">
              <a:solidFill>
                <a:srgbClr val="000000"/>
              </a:solidFill>
              <a:prstDash val="solid"/>
            </a:ln>
          </c:spPr>
          <c:marker>
            <c:symbol val="none"/>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GRAPH!$D$10:$L$10</c:f>
              <c:numCache>
                <c:formatCode>General</c:formatCode>
                <c:ptCount val="9"/>
                <c:pt idx="1">
                  <c:v>68</c:v>
                </c:pt>
                <c:pt idx="2">
                  <c:v>58</c:v>
                </c:pt>
                <c:pt idx="3">
                  <c:v>51</c:v>
                </c:pt>
                <c:pt idx="4">
                  <c:v>45</c:v>
                </c:pt>
                <c:pt idx="5">
                  <c:v>42</c:v>
                </c:pt>
                <c:pt idx="6">
                  <c:v>41</c:v>
                </c:pt>
                <c:pt idx="7">
                  <c:v>41</c:v>
                </c:pt>
              </c:numCache>
            </c:numRef>
          </c:val>
          <c:smooth val="0"/>
        </c:ser>
        <c:ser>
          <c:idx val="8"/>
          <c:order val="8"/>
          <c:tx>
            <c:strRef>
              <c:f>GRAPH!$C$11:$D$11</c:f>
              <c:strCache>
                <c:ptCount val="2"/>
                <c:pt idx="0">
                  <c:v>L-40</c:v>
                </c:pt>
              </c:strCache>
            </c:strRef>
          </c:tx>
          <c:spPr>
            <a:ln w="3175">
              <a:solidFill>
                <a:srgbClr val="000000"/>
              </a:solidFill>
              <a:prstDash val="solid"/>
            </a:ln>
          </c:spPr>
          <c:marker>
            <c:symbol val="none"/>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GRAPH!$D$11:$L$11</c:f>
              <c:numCache>
                <c:formatCode>General</c:formatCode>
                <c:ptCount val="9"/>
                <c:pt idx="1">
                  <c:v>63</c:v>
                </c:pt>
                <c:pt idx="2">
                  <c:v>53</c:v>
                </c:pt>
                <c:pt idx="3">
                  <c:v>46</c:v>
                </c:pt>
                <c:pt idx="4">
                  <c:v>40</c:v>
                </c:pt>
                <c:pt idx="5">
                  <c:v>37</c:v>
                </c:pt>
                <c:pt idx="6">
                  <c:v>36</c:v>
                </c:pt>
                <c:pt idx="7">
                  <c:v>36</c:v>
                </c:pt>
              </c:numCache>
            </c:numRef>
          </c:val>
          <c:smooth val="0"/>
        </c:ser>
        <c:ser>
          <c:idx val="9"/>
          <c:order val="9"/>
          <c:tx>
            <c:strRef>
              <c:f>GRAPH!$C$12:$D$12</c:f>
              <c:strCache>
                <c:ptCount val="2"/>
                <c:pt idx="0">
                  <c:v>L-35</c:v>
                </c:pt>
              </c:strCache>
            </c:strRef>
          </c:tx>
          <c:spPr>
            <a:ln w="3175">
              <a:solidFill>
                <a:srgbClr val="000000"/>
              </a:solidFill>
              <a:prstDash val="solid"/>
            </a:ln>
          </c:spPr>
          <c:marker>
            <c:symbol val="none"/>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GRAPH!$D$12:$L$12</c:f>
              <c:numCache>
                <c:formatCode>General</c:formatCode>
                <c:ptCount val="9"/>
                <c:pt idx="1">
                  <c:v>58</c:v>
                </c:pt>
                <c:pt idx="2">
                  <c:v>48</c:v>
                </c:pt>
                <c:pt idx="3">
                  <c:v>41</c:v>
                </c:pt>
                <c:pt idx="4">
                  <c:v>35</c:v>
                </c:pt>
                <c:pt idx="5">
                  <c:v>32</c:v>
                </c:pt>
                <c:pt idx="6">
                  <c:v>31</c:v>
                </c:pt>
                <c:pt idx="7">
                  <c:v>31</c:v>
                </c:pt>
              </c:numCache>
            </c:numRef>
          </c:val>
          <c:smooth val="0"/>
        </c:ser>
        <c:ser>
          <c:idx val="10"/>
          <c:order val="10"/>
          <c:tx>
            <c:strRef>
              <c:f>GRAPH!$C$13:$D$13</c:f>
              <c:strCache>
                <c:ptCount val="2"/>
                <c:pt idx="0">
                  <c:v>L-30</c:v>
                </c:pt>
              </c:strCache>
            </c:strRef>
          </c:tx>
          <c:spPr>
            <a:ln w="3175">
              <a:solidFill>
                <a:srgbClr val="000000"/>
              </a:solidFill>
              <a:prstDash val="solid"/>
            </a:ln>
          </c:spPr>
          <c:marker>
            <c:symbol val="none"/>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GRAPH!$D$13:$L$13</c:f>
              <c:numCache>
                <c:formatCode>General</c:formatCode>
                <c:ptCount val="9"/>
                <c:pt idx="1">
                  <c:v>53</c:v>
                </c:pt>
                <c:pt idx="2">
                  <c:v>43</c:v>
                </c:pt>
                <c:pt idx="3">
                  <c:v>36</c:v>
                </c:pt>
                <c:pt idx="4">
                  <c:v>30</c:v>
                </c:pt>
                <c:pt idx="5">
                  <c:v>27</c:v>
                </c:pt>
                <c:pt idx="6">
                  <c:v>26</c:v>
                </c:pt>
                <c:pt idx="7">
                  <c:v>26</c:v>
                </c:pt>
              </c:numCache>
            </c:numRef>
          </c:val>
          <c:smooth val="0"/>
        </c:ser>
        <c:ser>
          <c:idx val="11"/>
          <c:order val="11"/>
          <c:tx>
            <c:strRef>
              <c:f>GRAPH!$C$14</c:f>
              <c:strCache>
                <c:ptCount val="1"/>
                <c:pt idx="0">
                  <c:v>重量</c:v>
                </c:pt>
              </c:strCache>
            </c:strRef>
          </c:tx>
          <c:spPr>
            <a:ln w="12700">
              <a:solidFill>
                <a:srgbClr val="000000"/>
              </a:solidFill>
              <a:prstDash val="solid"/>
            </a:ln>
          </c:spPr>
          <c:marker>
            <c:symbol val="square"/>
            <c:size val="7"/>
            <c:spPr>
              <a:solidFill>
                <a:srgbClr val="000000"/>
              </a:solidFill>
              <a:ln>
                <a:solidFill>
                  <a:srgbClr val="000000"/>
                </a:solidFill>
                <a:prstDash val="solid"/>
              </a:ln>
            </c:spPr>
          </c:marker>
          <c:dPt>
            <c:idx val="0"/>
            <c:marker>
              <c:symbol val="none"/>
            </c:marker>
            <c:bubble3D val="0"/>
            <c:spPr>
              <a:ln w="12700">
                <a:noFill/>
                <a:prstDash val="solid"/>
              </a:ln>
            </c:spPr>
          </c:dPt>
          <c:dPt>
            <c:idx val="1"/>
            <c:marker>
              <c:spPr>
                <a:solidFill>
                  <a:srgbClr val="000000"/>
                </a:solidFill>
                <a:ln>
                  <a:noFill/>
                  <a:prstDash val="solid"/>
                </a:ln>
              </c:spPr>
            </c:marker>
            <c:bubble3D val="0"/>
            <c:spPr>
              <a:ln w="12700">
                <a:noFill/>
                <a:prstDash val="solid"/>
              </a:ln>
            </c:spPr>
          </c:dPt>
          <c:cat>
            <c:numRef>
              <c:f>GRAPH!$D$2:$L$2</c:f>
              <c:numCache>
                <c:formatCode>General</c:formatCode>
                <c:ptCount val="9"/>
                <c:pt idx="1">
                  <c:v>63</c:v>
                </c:pt>
                <c:pt idx="2">
                  <c:v>125</c:v>
                </c:pt>
                <c:pt idx="3">
                  <c:v>250</c:v>
                </c:pt>
                <c:pt idx="4">
                  <c:v>500</c:v>
                </c:pt>
                <c:pt idx="5">
                  <c:v>1000</c:v>
                </c:pt>
                <c:pt idx="6">
                  <c:v>2000</c:v>
                </c:pt>
                <c:pt idx="7">
                  <c:v>4000</c:v>
                </c:pt>
              </c:numCache>
            </c:numRef>
          </c:cat>
          <c:val>
            <c:numRef>
              <c:f>GRAPH!$D$14:$L$14</c:f>
              <c:numCache>
                <c:formatCode>0.0_ </c:formatCode>
                <c:ptCount val="9"/>
                <c:pt idx="0" formatCode="General">
                  <c:v>0</c:v>
                </c:pt>
                <c:pt idx="1">
                  <c:v>0</c:v>
                </c:pt>
                <c:pt idx="2">
                  <c:v>0</c:v>
                </c:pt>
                <c:pt idx="3">
                  <c:v>0</c:v>
                </c:pt>
                <c:pt idx="4">
                  <c:v>0</c:v>
                </c:pt>
              </c:numCache>
            </c:numRef>
          </c:val>
          <c:smooth val="0"/>
        </c:ser>
        <c:ser>
          <c:idx val="12"/>
          <c:order val="12"/>
          <c:tx>
            <c:strRef>
              <c:f>GRAPH!$C$15</c:f>
              <c:strCache>
                <c:ptCount val="1"/>
                <c:pt idx="0">
                  <c:v>軽量</c:v>
                </c:pt>
              </c:strCache>
            </c:strRef>
          </c:tx>
          <c:spPr>
            <a:ln w="12700">
              <a:solidFill>
                <a:srgbClr val="000000"/>
              </a:solidFill>
              <a:prstDash val="solid"/>
            </a:ln>
          </c:spPr>
          <c:marker>
            <c:symbol val="circle"/>
            <c:size val="7"/>
            <c:spPr>
              <a:solidFill>
                <a:srgbClr val="000000"/>
              </a:solidFill>
              <a:ln>
                <a:solidFill>
                  <a:srgbClr val="000000"/>
                </a:solidFill>
                <a:prstDash val="solid"/>
              </a:ln>
            </c:spPr>
          </c:marker>
          <c:cat>
            <c:numRef>
              <c:f>GRAPH!$D$2:$L$2</c:f>
              <c:numCache>
                <c:formatCode>General</c:formatCode>
                <c:ptCount val="9"/>
                <c:pt idx="1">
                  <c:v>63</c:v>
                </c:pt>
                <c:pt idx="2">
                  <c:v>125</c:v>
                </c:pt>
                <c:pt idx="3">
                  <c:v>250</c:v>
                </c:pt>
                <c:pt idx="4">
                  <c:v>500</c:v>
                </c:pt>
                <c:pt idx="5">
                  <c:v>1000</c:v>
                </c:pt>
                <c:pt idx="6">
                  <c:v>2000</c:v>
                </c:pt>
                <c:pt idx="7">
                  <c:v>4000</c:v>
                </c:pt>
              </c:numCache>
            </c:numRef>
          </c:cat>
          <c:val>
            <c:numRef>
              <c:f>GRAPH!$D$15:$L$15</c:f>
              <c:numCache>
                <c:formatCode>0.0_ </c:formatCode>
                <c:ptCount val="9"/>
                <c:pt idx="2">
                  <c:v>66</c:v>
                </c:pt>
                <c:pt idx="3">
                  <c:v>70</c:v>
                </c:pt>
                <c:pt idx="4">
                  <c:v>72</c:v>
                </c:pt>
                <c:pt idx="5">
                  <c:v>73</c:v>
                </c:pt>
                <c:pt idx="6">
                  <c:v>74</c:v>
                </c:pt>
              </c:numCache>
            </c:numRef>
          </c:val>
          <c:smooth val="0"/>
        </c:ser>
        <c:dLbls>
          <c:showLegendKey val="0"/>
          <c:showVal val="0"/>
          <c:showCatName val="0"/>
          <c:showSerName val="0"/>
          <c:showPercent val="0"/>
          <c:showBubbleSize val="0"/>
        </c:dLbls>
        <c:smooth val="0"/>
        <c:axId val="481717944"/>
        <c:axId val="481714808"/>
      </c:lineChart>
      <c:catAx>
        <c:axId val="481717944"/>
        <c:scaling>
          <c:orientation val="minMax"/>
        </c:scaling>
        <c:delete val="0"/>
        <c:axPos val="b"/>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975" b="0" i="0" u="none" strike="noStrike" baseline="0">
                    <a:solidFill>
                      <a:srgbClr val="000000"/>
                    </a:solidFill>
                    <a:latin typeface="ＭＳ Ｐゴシック"/>
                    <a:ea typeface="ＭＳ Ｐゴシック"/>
                  </a:rPr>
                  <a:t>オクターブバンド中心周波数（</a:t>
                </a:r>
                <a:r>
                  <a:rPr lang="ja-JP" altLang="en-US" sz="975" b="0" i="0" u="none" strike="noStrike" baseline="0">
                    <a:solidFill>
                      <a:srgbClr val="000000"/>
                    </a:solidFill>
                    <a:latin typeface="Arial"/>
                    <a:ea typeface="ＭＳ Ｐゴシック"/>
                    <a:cs typeface="Arial"/>
                  </a:rPr>
                  <a:t>Hz</a:t>
                </a:r>
                <a:r>
                  <a:rPr lang="ja-JP" altLang="en-US" sz="975" b="0" i="0" u="none" strike="noStrike" baseline="0">
                    <a:solidFill>
                      <a:srgbClr val="000000"/>
                    </a:solidFill>
                    <a:latin typeface="ＭＳ Ｐゴシック"/>
                    <a:ea typeface="ＭＳ Ｐゴシック"/>
                    <a:cs typeface="Arial"/>
                  </a:rPr>
                  <a:t>）</a:t>
                </a:r>
                <a:endParaRPr lang="ja-JP" altLang="en-US"/>
              </a:p>
            </c:rich>
          </c:tx>
          <c:layout>
            <c:manualLayout>
              <c:xMode val="edge"/>
              <c:yMode val="edge"/>
              <c:x val="0.37989778534923341"/>
              <c:y val="0.9619169778224896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ja-JP"/>
          </a:p>
        </c:txPr>
        <c:crossAx val="481714808"/>
        <c:crosses val="autoZero"/>
        <c:auto val="1"/>
        <c:lblAlgn val="ctr"/>
        <c:lblOffset val="100"/>
        <c:tickLblSkip val="1"/>
        <c:tickMarkSkip val="1"/>
        <c:noMultiLvlLbl val="0"/>
      </c:catAx>
      <c:valAx>
        <c:axId val="481714808"/>
        <c:scaling>
          <c:orientation val="minMax"/>
          <c:max val="120"/>
          <c:min val="0"/>
        </c:scaling>
        <c:delete val="0"/>
        <c:axPos val="l"/>
        <c:majorGridlines>
          <c:spPr>
            <a:ln w="3175">
              <a:solidFill>
                <a:srgbClr val="000000"/>
              </a:solidFill>
              <a:prstDash val="solid"/>
            </a:ln>
          </c:spPr>
        </c:majorGridlines>
        <c:minorGridlines>
          <c:spPr>
            <a:ln w="3175">
              <a:solidFill>
                <a:srgbClr val="000000"/>
              </a:solidFill>
              <a:prstDash val="sysDash"/>
            </a:ln>
          </c:spPr>
        </c:min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975" b="0" i="0" u="none" strike="noStrike" baseline="0">
                    <a:solidFill>
                      <a:srgbClr val="000000"/>
                    </a:solidFill>
                    <a:latin typeface="ＭＳ Ｐゴシック"/>
                    <a:ea typeface="ＭＳ Ｐゴシック"/>
                  </a:rPr>
                  <a:t>床衝撃音レベル（</a:t>
                </a:r>
                <a:r>
                  <a:rPr lang="ja-JP" altLang="en-US" sz="975" b="0" i="0" u="none" strike="noStrike" baseline="0">
                    <a:solidFill>
                      <a:srgbClr val="000000"/>
                    </a:solidFill>
                    <a:latin typeface="Arial"/>
                    <a:ea typeface="ＭＳ Ｐゴシック"/>
                    <a:cs typeface="Arial"/>
                  </a:rPr>
                  <a:t>dB</a:t>
                </a:r>
                <a:r>
                  <a:rPr lang="ja-JP" altLang="en-US" sz="975" b="0" i="0" u="none" strike="noStrike" baseline="0">
                    <a:solidFill>
                      <a:srgbClr val="000000"/>
                    </a:solidFill>
                    <a:latin typeface="ＭＳ Ｐゴシック"/>
                    <a:ea typeface="ＭＳ Ｐゴシック"/>
                    <a:cs typeface="Arial"/>
                  </a:rPr>
                  <a:t>）</a:t>
                </a:r>
                <a:endParaRPr lang="ja-JP" altLang="en-US"/>
              </a:p>
            </c:rich>
          </c:tx>
          <c:layout>
            <c:manualLayout>
              <c:xMode val="edge"/>
              <c:yMode val="edge"/>
              <c:x val="1.5332197614991482E-2"/>
              <c:y val="0.4017201596729155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ja-JP"/>
          </a:p>
        </c:txPr>
        <c:crossAx val="481717944"/>
        <c:crosses val="autoZero"/>
        <c:crossBetween val="midCat"/>
        <c:majorUnit val="10"/>
        <c:minorUnit val="1"/>
      </c:valAx>
      <c:spPr>
        <a:noFill/>
        <a:ln w="12700">
          <a:solidFill>
            <a:srgbClr val="000000"/>
          </a:solidFill>
          <a:prstDash val="solid"/>
        </a:ln>
      </c:spPr>
    </c:plotArea>
    <c:legend>
      <c:legendPos val="r"/>
      <c:layout>
        <c:manualLayout>
          <c:xMode val="edge"/>
          <c:yMode val="edge"/>
          <c:x val="0.54344122657580918"/>
          <c:y val="0.11425074322712117"/>
          <c:w val="0.11243611584327085"/>
          <c:h val="0.33660959456235051"/>
        </c:manualLayout>
      </c:layout>
      <c:overlay val="0"/>
      <c:spPr>
        <a:solidFill>
          <a:srgbClr val="FFFFFF"/>
        </a:solidFill>
        <a:ln w="3175">
          <a:solidFill>
            <a:srgbClr val="000000"/>
          </a:solidFill>
          <a:prstDash val="solid"/>
        </a:ln>
      </c:spPr>
      <c:txPr>
        <a:bodyPr/>
        <a:lstStyle/>
        <a:p>
          <a:pPr>
            <a:defRPr sz="895" b="0" i="0" u="none" strike="noStrike" baseline="0">
              <a:solidFill>
                <a:srgbClr val="000000"/>
              </a:solidFill>
              <a:latin typeface="Arial"/>
              <a:ea typeface="Arial"/>
              <a:cs typeface="Arial"/>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ja-JP"/>
    </a:p>
  </c:txPr>
  <c:printSettings>
    <c:headerFooter alignWithMargins="0"/>
    <c:pageMargins b="1" l="0.75" r="0.75" t="1" header="0.51200000000000001" footer="0.51200000000000001"/>
    <c:pageSetup paperSize="9" orientation="landscape"/>
  </c:printSettings>
</c:chartSpace>
</file>

<file path=xl/ctrlProps/ctrlProp1.xml><?xml version="1.0" encoding="utf-8"?>
<formControlPr xmlns="http://schemas.microsoft.com/office/spreadsheetml/2009/9/main" objectType="Radio" firstButton="1" fmlaLink="Calculation!$M$136" lockText="1"/>
</file>

<file path=xl/ctrlProps/ctrlProp2.xml><?xml version="1.0" encoding="utf-8"?>
<formControlPr xmlns="http://schemas.microsoft.com/office/spreadsheetml/2009/9/main" objectType="Radio" checked="Checked"/>
</file>

<file path=xl/ctrlProps/ctrlProp3.xml><?xml version="1.0" encoding="utf-8"?>
<formControlPr xmlns="http://schemas.microsoft.com/office/spreadsheetml/2009/9/main" objectType="Radio" lockText="1"/>
</file>

<file path=xl/drawings/_rels/drawing1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12</xdr:col>
      <xdr:colOff>11206</xdr:colOff>
      <xdr:row>24</xdr:row>
      <xdr:rowOff>11206</xdr:rowOff>
    </xdr:from>
    <xdr:ext cx="374974" cy="167738"/>
    <mc:AlternateContent xmlns:mc="http://schemas.openxmlformats.org/markup-compatibility/2006" xmlns:a14="http://schemas.microsoft.com/office/drawing/2010/main">
      <mc:Choice Requires="a14">
        <xdr:sp macro="" textlink="">
          <xdr:nvSpPr>
            <xdr:cNvPr id="3" name="テキスト ボックス 2"/>
            <xdr:cNvSpPr txBox="1"/>
          </xdr:nvSpPr>
          <xdr:spPr>
            <a:xfrm>
              <a:off x="4975412" y="4583206"/>
              <a:ext cx="374974" cy="167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ad>
                      <m:radPr>
                        <m:degHide m:val="on"/>
                        <m:ctrlPr>
                          <a:rPr kumimoji="1" lang="ja-JP" altLang="en-US" sz="900" i="1">
                            <a:solidFill>
                              <a:srgbClr val="0070C0"/>
                            </a:solidFill>
                            <a:latin typeface="Cambria Math" panose="02040503050406030204" pitchFamily="18" charset="0"/>
                          </a:rPr>
                        </m:ctrlPr>
                      </m:radPr>
                      <m:deg/>
                      <m:e>
                        <m:f>
                          <m:fPr>
                            <m:type m:val="lin"/>
                            <m:ctrlPr>
                              <a:rPr kumimoji="1" lang="ja-JP" altLang="en-US" sz="900" i="1">
                                <a:solidFill>
                                  <a:srgbClr val="0070C0"/>
                                </a:solidFill>
                                <a:latin typeface="Cambria Math" panose="02040503050406030204" pitchFamily="18" charset="0"/>
                              </a:rPr>
                            </m:ctrlPr>
                          </m:fPr>
                          <m:num>
                            <m:r>
                              <a:rPr kumimoji="1" lang="en-US" altLang="ja-JP" sz="900" b="0" i="1">
                                <a:solidFill>
                                  <a:srgbClr val="0070C0"/>
                                </a:solidFill>
                                <a:latin typeface="Cambria Math" panose="02040503050406030204" pitchFamily="18" charset="0"/>
                              </a:rPr>
                              <m:t>𝐵</m:t>
                            </m:r>
                          </m:num>
                          <m:den>
                            <m:sSub>
                              <m:sSubPr>
                                <m:ctrlPr>
                                  <a:rPr kumimoji="1" lang="en-US" altLang="ja-JP" sz="900" i="1">
                                    <a:solidFill>
                                      <a:srgbClr val="0070C0"/>
                                    </a:solidFill>
                                    <a:latin typeface="Cambria Math" panose="02040503050406030204" pitchFamily="18" charset="0"/>
                                  </a:rPr>
                                </m:ctrlPr>
                              </m:sSubPr>
                              <m:e>
                                <m:r>
                                  <a:rPr kumimoji="1" lang="en-US" altLang="ja-JP" sz="900" b="0" i="1">
                                    <a:solidFill>
                                      <a:srgbClr val="0070C0"/>
                                    </a:solidFill>
                                    <a:latin typeface="Cambria Math" panose="02040503050406030204" pitchFamily="18" charset="0"/>
                                  </a:rPr>
                                  <m:t>𝐵</m:t>
                                </m:r>
                              </m:e>
                              <m:sub>
                                <m:r>
                                  <a:rPr kumimoji="1" lang="en-US" altLang="ja-JP" sz="900" b="0" i="1">
                                    <a:solidFill>
                                      <a:srgbClr val="0070C0"/>
                                    </a:solidFill>
                                    <a:latin typeface="Cambria Math" panose="02040503050406030204" pitchFamily="18" charset="0"/>
                                  </a:rPr>
                                  <m:t>𝑆</m:t>
                                </m:r>
                              </m:sub>
                            </m:sSub>
                          </m:den>
                        </m:f>
                      </m:e>
                    </m:rad>
                  </m:oMath>
                </m:oMathPara>
              </a14:m>
              <a:endParaRPr kumimoji="1" lang="ja-JP" altLang="en-US" sz="900"/>
            </a:p>
          </xdr:txBody>
        </xdr:sp>
      </mc:Choice>
      <mc:Fallback xmlns="">
        <xdr:sp macro="" textlink="">
          <xdr:nvSpPr>
            <xdr:cNvPr id="3" name="テキスト ボックス 2"/>
            <xdr:cNvSpPr txBox="1"/>
          </xdr:nvSpPr>
          <xdr:spPr>
            <a:xfrm>
              <a:off x="4975412" y="4583206"/>
              <a:ext cx="374974" cy="167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ja-JP" altLang="en-US" sz="900" i="0">
                  <a:solidFill>
                    <a:srgbClr val="0070C0"/>
                  </a:solidFill>
                  <a:latin typeface="Cambria Math" panose="02040503050406030204" pitchFamily="18" charset="0"/>
                </a:rPr>
                <a:t>√(</a:t>
              </a:r>
              <a:r>
                <a:rPr kumimoji="1" lang="en-US" altLang="ja-JP" sz="900" b="0" i="0">
                  <a:solidFill>
                    <a:srgbClr val="0070C0"/>
                  </a:solidFill>
                  <a:latin typeface="Cambria Math" panose="02040503050406030204" pitchFamily="18" charset="0"/>
                </a:rPr>
                <a:t>𝐵</a:t>
              </a:r>
              <a:r>
                <a:rPr kumimoji="1" lang="ja-JP" altLang="en-US" sz="900" b="0" i="0">
                  <a:solidFill>
                    <a:srgbClr val="0070C0"/>
                  </a:solidFill>
                  <a:latin typeface="Cambria Math" panose="02040503050406030204" pitchFamily="18" charset="0"/>
                </a:rPr>
                <a:t>∕</a:t>
              </a:r>
              <a:r>
                <a:rPr kumimoji="1" lang="en-US" altLang="ja-JP" sz="900" b="0" i="0">
                  <a:solidFill>
                    <a:srgbClr val="0070C0"/>
                  </a:solidFill>
                  <a:latin typeface="Cambria Math" panose="02040503050406030204" pitchFamily="18" charset="0"/>
                </a:rPr>
                <a:t>𝐵_𝑆 </a:t>
              </a:r>
              <a:r>
                <a:rPr kumimoji="1" lang="ja-JP" altLang="en-US" sz="900" b="0" i="0">
                  <a:solidFill>
                    <a:srgbClr val="0070C0"/>
                  </a:solidFill>
                  <a:latin typeface="Cambria Math" panose="02040503050406030204" pitchFamily="18" charset="0"/>
                </a:rPr>
                <a:t>)</a:t>
              </a:r>
              <a:endParaRPr kumimoji="1" lang="ja-JP" altLang="en-US" sz="900"/>
            </a:p>
          </xdr:txBody>
        </xdr:sp>
      </mc:Fallback>
    </mc:AlternateContent>
    <xdr:clientData/>
  </xdr:oneCellAnchor>
  <xdr:oneCellAnchor>
    <xdr:from>
      <xdr:col>6</xdr:col>
      <xdr:colOff>11206</xdr:colOff>
      <xdr:row>24</xdr:row>
      <xdr:rowOff>11206</xdr:rowOff>
    </xdr:from>
    <xdr:ext cx="374974" cy="167738"/>
    <mc:AlternateContent xmlns:mc="http://schemas.openxmlformats.org/markup-compatibility/2006" xmlns:a14="http://schemas.microsoft.com/office/drawing/2010/main">
      <mc:Choice Requires="a14">
        <xdr:sp macro="" textlink="">
          <xdr:nvSpPr>
            <xdr:cNvPr id="4" name="テキスト ボックス 3"/>
            <xdr:cNvSpPr txBox="1"/>
          </xdr:nvSpPr>
          <xdr:spPr>
            <a:xfrm>
              <a:off x="2554941" y="4583206"/>
              <a:ext cx="374974" cy="167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ad>
                      <m:radPr>
                        <m:degHide m:val="on"/>
                        <m:ctrlPr>
                          <a:rPr kumimoji="1" lang="ja-JP" altLang="en-US" sz="900" i="1">
                            <a:solidFill>
                              <a:srgbClr val="0070C0"/>
                            </a:solidFill>
                            <a:latin typeface="Cambria Math" panose="02040503050406030204" pitchFamily="18" charset="0"/>
                          </a:rPr>
                        </m:ctrlPr>
                      </m:radPr>
                      <m:deg/>
                      <m:e>
                        <m:f>
                          <m:fPr>
                            <m:type m:val="lin"/>
                            <m:ctrlPr>
                              <a:rPr kumimoji="1" lang="ja-JP" altLang="en-US" sz="900" i="1">
                                <a:solidFill>
                                  <a:srgbClr val="0070C0"/>
                                </a:solidFill>
                                <a:latin typeface="Cambria Math" panose="02040503050406030204" pitchFamily="18" charset="0"/>
                              </a:rPr>
                            </m:ctrlPr>
                          </m:fPr>
                          <m:num>
                            <m:r>
                              <a:rPr kumimoji="1" lang="en-US" altLang="ja-JP" sz="900" b="0" i="1">
                                <a:solidFill>
                                  <a:srgbClr val="0070C0"/>
                                </a:solidFill>
                                <a:latin typeface="Cambria Math" panose="02040503050406030204" pitchFamily="18" charset="0"/>
                              </a:rPr>
                              <m:t>𝐵</m:t>
                            </m:r>
                          </m:num>
                          <m:den>
                            <m:sSub>
                              <m:sSubPr>
                                <m:ctrlPr>
                                  <a:rPr kumimoji="1" lang="en-US" altLang="ja-JP" sz="900" i="1">
                                    <a:solidFill>
                                      <a:srgbClr val="0070C0"/>
                                    </a:solidFill>
                                    <a:latin typeface="Cambria Math" panose="02040503050406030204" pitchFamily="18" charset="0"/>
                                  </a:rPr>
                                </m:ctrlPr>
                              </m:sSubPr>
                              <m:e>
                                <m:r>
                                  <a:rPr kumimoji="1" lang="en-US" altLang="ja-JP" sz="900" b="0" i="1">
                                    <a:solidFill>
                                      <a:srgbClr val="0070C0"/>
                                    </a:solidFill>
                                    <a:latin typeface="Cambria Math" panose="02040503050406030204" pitchFamily="18" charset="0"/>
                                  </a:rPr>
                                  <m:t>𝐵</m:t>
                                </m:r>
                              </m:e>
                              <m:sub>
                                <m:r>
                                  <a:rPr kumimoji="1" lang="en-US" altLang="ja-JP" sz="900" b="0" i="1">
                                    <a:solidFill>
                                      <a:srgbClr val="0070C0"/>
                                    </a:solidFill>
                                    <a:latin typeface="Cambria Math" panose="02040503050406030204" pitchFamily="18" charset="0"/>
                                  </a:rPr>
                                  <m:t>𝑆</m:t>
                                </m:r>
                              </m:sub>
                            </m:sSub>
                          </m:den>
                        </m:f>
                      </m:e>
                    </m:rad>
                  </m:oMath>
                </m:oMathPara>
              </a14:m>
              <a:endParaRPr kumimoji="1" lang="ja-JP" altLang="en-US" sz="900"/>
            </a:p>
          </xdr:txBody>
        </xdr:sp>
      </mc:Choice>
      <mc:Fallback xmlns="">
        <xdr:sp macro="" textlink="">
          <xdr:nvSpPr>
            <xdr:cNvPr id="4" name="テキスト ボックス 3"/>
            <xdr:cNvSpPr txBox="1"/>
          </xdr:nvSpPr>
          <xdr:spPr>
            <a:xfrm>
              <a:off x="2554941" y="4583206"/>
              <a:ext cx="374974" cy="167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ja-JP" altLang="en-US" sz="900" i="0">
                  <a:solidFill>
                    <a:srgbClr val="0070C0"/>
                  </a:solidFill>
                  <a:latin typeface="Cambria Math" panose="02040503050406030204" pitchFamily="18" charset="0"/>
                </a:rPr>
                <a:t>√(</a:t>
              </a:r>
              <a:r>
                <a:rPr kumimoji="1" lang="en-US" altLang="ja-JP" sz="900" b="0" i="0">
                  <a:solidFill>
                    <a:srgbClr val="0070C0"/>
                  </a:solidFill>
                  <a:latin typeface="Cambria Math" panose="02040503050406030204" pitchFamily="18" charset="0"/>
                </a:rPr>
                <a:t>𝐵</a:t>
              </a:r>
              <a:r>
                <a:rPr kumimoji="1" lang="ja-JP" altLang="en-US" sz="900" b="0" i="0">
                  <a:solidFill>
                    <a:srgbClr val="0070C0"/>
                  </a:solidFill>
                  <a:latin typeface="Cambria Math" panose="02040503050406030204" pitchFamily="18" charset="0"/>
                </a:rPr>
                <a:t>∕</a:t>
              </a:r>
              <a:r>
                <a:rPr kumimoji="1" lang="en-US" altLang="ja-JP" sz="900" b="0" i="0">
                  <a:solidFill>
                    <a:srgbClr val="0070C0"/>
                  </a:solidFill>
                  <a:latin typeface="Cambria Math" panose="02040503050406030204" pitchFamily="18" charset="0"/>
                </a:rPr>
                <a:t>𝐵_𝑆 </a:t>
              </a:r>
              <a:r>
                <a:rPr kumimoji="1" lang="ja-JP" altLang="en-US" sz="900" b="0" i="0">
                  <a:solidFill>
                    <a:srgbClr val="0070C0"/>
                  </a:solidFill>
                  <a:latin typeface="Cambria Math" panose="02040503050406030204" pitchFamily="18" charset="0"/>
                </a:rPr>
                <a:t>)</a:t>
              </a:r>
              <a:endParaRPr kumimoji="1" lang="ja-JP" altLang="en-US" sz="900"/>
            </a:p>
          </xdr:txBody>
        </xdr:sp>
      </mc:Fallback>
    </mc:AlternateContent>
    <xdr:clientData/>
  </xdr:oneCellAnchor>
  <xdr:oneCellAnchor>
    <xdr:from>
      <xdr:col>7</xdr:col>
      <xdr:colOff>2</xdr:colOff>
      <xdr:row>36</xdr:row>
      <xdr:rowOff>11206</xdr:rowOff>
    </xdr:from>
    <xdr:ext cx="374974" cy="167738"/>
    <mc:AlternateContent xmlns:mc="http://schemas.openxmlformats.org/markup-compatibility/2006" xmlns:a14="http://schemas.microsoft.com/office/drawing/2010/main">
      <mc:Choice Requires="a14">
        <xdr:sp macro="" textlink="">
          <xdr:nvSpPr>
            <xdr:cNvPr id="5" name="テキスト ボックス 4"/>
            <xdr:cNvSpPr txBox="1"/>
          </xdr:nvSpPr>
          <xdr:spPr>
            <a:xfrm>
              <a:off x="2947149" y="6801971"/>
              <a:ext cx="374974" cy="167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ad>
                      <m:radPr>
                        <m:degHide m:val="on"/>
                        <m:ctrlPr>
                          <a:rPr kumimoji="1" lang="ja-JP" altLang="en-US" sz="900" i="1">
                            <a:solidFill>
                              <a:srgbClr val="0070C0"/>
                            </a:solidFill>
                            <a:latin typeface="Cambria Math" panose="02040503050406030204" pitchFamily="18" charset="0"/>
                          </a:rPr>
                        </m:ctrlPr>
                      </m:radPr>
                      <m:deg/>
                      <m:e>
                        <m:f>
                          <m:fPr>
                            <m:type m:val="lin"/>
                            <m:ctrlPr>
                              <a:rPr kumimoji="1" lang="ja-JP" altLang="en-US" sz="900" i="1">
                                <a:solidFill>
                                  <a:srgbClr val="0070C0"/>
                                </a:solidFill>
                                <a:latin typeface="Cambria Math" panose="02040503050406030204" pitchFamily="18" charset="0"/>
                              </a:rPr>
                            </m:ctrlPr>
                          </m:fPr>
                          <m:num>
                            <m:r>
                              <a:rPr kumimoji="1" lang="en-US" altLang="ja-JP" sz="900" b="0" i="1">
                                <a:solidFill>
                                  <a:srgbClr val="0070C0"/>
                                </a:solidFill>
                                <a:latin typeface="Cambria Math" panose="02040503050406030204" pitchFamily="18" charset="0"/>
                              </a:rPr>
                              <m:t>𝐵</m:t>
                            </m:r>
                          </m:num>
                          <m:den>
                            <m:sSub>
                              <m:sSubPr>
                                <m:ctrlPr>
                                  <a:rPr kumimoji="1" lang="en-US" altLang="ja-JP" sz="900" i="1">
                                    <a:solidFill>
                                      <a:srgbClr val="0070C0"/>
                                    </a:solidFill>
                                    <a:latin typeface="Cambria Math" panose="02040503050406030204" pitchFamily="18" charset="0"/>
                                  </a:rPr>
                                </m:ctrlPr>
                              </m:sSubPr>
                              <m:e>
                                <m:r>
                                  <a:rPr kumimoji="1" lang="en-US" altLang="ja-JP" sz="900" b="0" i="1">
                                    <a:solidFill>
                                      <a:srgbClr val="0070C0"/>
                                    </a:solidFill>
                                    <a:latin typeface="Cambria Math" panose="02040503050406030204" pitchFamily="18" charset="0"/>
                                  </a:rPr>
                                  <m:t>𝐵</m:t>
                                </m:r>
                              </m:e>
                              <m:sub>
                                <m:r>
                                  <a:rPr kumimoji="1" lang="en-US" altLang="ja-JP" sz="900" b="0" i="1">
                                    <a:solidFill>
                                      <a:srgbClr val="0070C0"/>
                                    </a:solidFill>
                                    <a:latin typeface="Cambria Math" panose="02040503050406030204" pitchFamily="18" charset="0"/>
                                  </a:rPr>
                                  <m:t>𝑆</m:t>
                                </m:r>
                              </m:sub>
                            </m:sSub>
                          </m:den>
                        </m:f>
                      </m:e>
                    </m:rad>
                  </m:oMath>
                </m:oMathPara>
              </a14:m>
              <a:endParaRPr kumimoji="1" lang="ja-JP" altLang="en-US" sz="900">
                <a:solidFill>
                  <a:srgbClr val="0070C0"/>
                </a:solidFill>
              </a:endParaRPr>
            </a:p>
          </xdr:txBody>
        </xdr:sp>
      </mc:Choice>
      <mc:Fallback xmlns="">
        <xdr:sp macro="" textlink="">
          <xdr:nvSpPr>
            <xdr:cNvPr id="5" name="テキスト ボックス 4"/>
            <xdr:cNvSpPr txBox="1"/>
          </xdr:nvSpPr>
          <xdr:spPr>
            <a:xfrm>
              <a:off x="2947149" y="6801971"/>
              <a:ext cx="374974" cy="167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ja-JP" altLang="en-US" sz="900" i="0">
                  <a:solidFill>
                    <a:srgbClr val="0070C0"/>
                  </a:solidFill>
                  <a:latin typeface="Cambria Math" panose="02040503050406030204" pitchFamily="18" charset="0"/>
                </a:rPr>
                <a:t>√(</a:t>
              </a:r>
              <a:r>
                <a:rPr kumimoji="1" lang="en-US" altLang="ja-JP" sz="900" b="0" i="0">
                  <a:solidFill>
                    <a:srgbClr val="0070C0"/>
                  </a:solidFill>
                  <a:latin typeface="Cambria Math" panose="02040503050406030204" pitchFamily="18" charset="0"/>
                </a:rPr>
                <a:t>𝐵</a:t>
              </a:r>
              <a:r>
                <a:rPr kumimoji="1" lang="ja-JP" altLang="en-US" sz="900" b="0" i="0">
                  <a:solidFill>
                    <a:srgbClr val="0070C0"/>
                  </a:solidFill>
                  <a:latin typeface="Cambria Math" panose="02040503050406030204" pitchFamily="18" charset="0"/>
                </a:rPr>
                <a:t>∕</a:t>
              </a:r>
              <a:r>
                <a:rPr kumimoji="1" lang="en-US" altLang="ja-JP" sz="900" b="0" i="0">
                  <a:solidFill>
                    <a:srgbClr val="0070C0"/>
                  </a:solidFill>
                  <a:latin typeface="Cambria Math" panose="02040503050406030204" pitchFamily="18" charset="0"/>
                </a:rPr>
                <a:t>𝐵_𝑆 </a:t>
              </a:r>
              <a:r>
                <a:rPr kumimoji="1" lang="ja-JP" altLang="en-US" sz="900" b="0" i="0">
                  <a:solidFill>
                    <a:srgbClr val="0070C0"/>
                  </a:solidFill>
                  <a:latin typeface="Cambria Math" panose="02040503050406030204" pitchFamily="18" charset="0"/>
                </a:rPr>
                <a:t>)</a:t>
              </a:r>
              <a:endParaRPr kumimoji="1" lang="ja-JP" altLang="en-US" sz="900">
                <a:solidFill>
                  <a:srgbClr val="0070C0"/>
                </a:solidFill>
              </a:endParaRPr>
            </a:p>
          </xdr:txBody>
        </xdr:sp>
      </mc:Fallback>
    </mc:AlternateContent>
    <xdr:clientData/>
  </xdr:oneCellAnchor>
  <xdr:oneCellAnchor>
    <xdr:from>
      <xdr:col>7</xdr:col>
      <xdr:colOff>11210</xdr:colOff>
      <xdr:row>43</xdr:row>
      <xdr:rowOff>11206</xdr:rowOff>
    </xdr:from>
    <xdr:ext cx="374974" cy="167738"/>
    <mc:AlternateContent xmlns:mc="http://schemas.openxmlformats.org/markup-compatibility/2006" xmlns:a14="http://schemas.microsoft.com/office/drawing/2010/main">
      <mc:Choice Requires="a14">
        <xdr:sp macro="" textlink="">
          <xdr:nvSpPr>
            <xdr:cNvPr id="6" name="テキスト ボックス 5"/>
            <xdr:cNvSpPr txBox="1"/>
          </xdr:nvSpPr>
          <xdr:spPr>
            <a:xfrm>
              <a:off x="2958357" y="8057030"/>
              <a:ext cx="374974" cy="167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ad>
                      <m:radPr>
                        <m:degHide m:val="on"/>
                        <m:ctrlPr>
                          <a:rPr kumimoji="1" lang="ja-JP" altLang="en-US" sz="900" i="1">
                            <a:solidFill>
                              <a:srgbClr val="0070C0"/>
                            </a:solidFill>
                            <a:latin typeface="Cambria Math" panose="02040503050406030204" pitchFamily="18" charset="0"/>
                          </a:rPr>
                        </m:ctrlPr>
                      </m:radPr>
                      <m:deg/>
                      <m:e>
                        <m:f>
                          <m:fPr>
                            <m:type m:val="lin"/>
                            <m:ctrlPr>
                              <a:rPr kumimoji="1" lang="ja-JP" altLang="en-US" sz="900" i="1">
                                <a:solidFill>
                                  <a:srgbClr val="0070C0"/>
                                </a:solidFill>
                                <a:latin typeface="Cambria Math" panose="02040503050406030204" pitchFamily="18" charset="0"/>
                              </a:rPr>
                            </m:ctrlPr>
                          </m:fPr>
                          <m:num>
                            <m:r>
                              <a:rPr kumimoji="1" lang="en-US" altLang="ja-JP" sz="900" b="0" i="1">
                                <a:solidFill>
                                  <a:srgbClr val="0070C0"/>
                                </a:solidFill>
                                <a:latin typeface="Cambria Math" panose="02040503050406030204" pitchFamily="18" charset="0"/>
                              </a:rPr>
                              <m:t>𝐵</m:t>
                            </m:r>
                          </m:num>
                          <m:den>
                            <m:sSub>
                              <m:sSubPr>
                                <m:ctrlPr>
                                  <a:rPr kumimoji="1" lang="en-US" altLang="ja-JP" sz="900" i="1">
                                    <a:solidFill>
                                      <a:srgbClr val="0070C0"/>
                                    </a:solidFill>
                                    <a:latin typeface="Cambria Math" panose="02040503050406030204" pitchFamily="18" charset="0"/>
                                  </a:rPr>
                                </m:ctrlPr>
                              </m:sSubPr>
                              <m:e>
                                <m:r>
                                  <a:rPr kumimoji="1" lang="en-US" altLang="ja-JP" sz="900" b="0" i="1">
                                    <a:solidFill>
                                      <a:srgbClr val="0070C0"/>
                                    </a:solidFill>
                                    <a:latin typeface="Cambria Math" panose="02040503050406030204" pitchFamily="18" charset="0"/>
                                  </a:rPr>
                                  <m:t>𝐵</m:t>
                                </m:r>
                              </m:e>
                              <m:sub>
                                <m:r>
                                  <a:rPr kumimoji="1" lang="en-US" altLang="ja-JP" sz="900" b="0" i="1">
                                    <a:solidFill>
                                      <a:srgbClr val="0070C0"/>
                                    </a:solidFill>
                                    <a:latin typeface="Cambria Math" panose="02040503050406030204" pitchFamily="18" charset="0"/>
                                  </a:rPr>
                                  <m:t>𝑆</m:t>
                                </m:r>
                              </m:sub>
                            </m:sSub>
                          </m:den>
                        </m:f>
                      </m:e>
                    </m:rad>
                  </m:oMath>
                </m:oMathPara>
              </a14:m>
              <a:endParaRPr kumimoji="1" lang="ja-JP" altLang="en-US" sz="900">
                <a:solidFill>
                  <a:srgbClr val="0070C0"/>
                </a:solidFill>
              </a:endParaRPr>
            </a:p>
          </xdr:txBody>
        </xdr:sp>
      </mc:Choice>
      <mc:Fallback xmlns="">
        <xdr:sp macro="" textlink="">
          <xdr:nvSpPr>
            <xdr:cNvPr id="6" name="テキスト ボックス 5"/>
            <xdr:cNvSpPr txBox="1"/>
          </xdr:nvSpPr>
          <xdr:spPr>
            <a:xfrm>
              <a:off x="2958357" y="8057030"/>
              <a:ext cx="374974" cy="167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ja-JP" altLang="en-US" sz="900" i="0">
                  <a:solidFill>
                    <a:srgbClr val="0070C0"/>
                  </a:solidFill>
                  <a:latin typeface="Cambria Math" panose="02040503050406030204" pitchFamily="18" charset="0"/>
                </a:rPr>
                <a:t>√(</a:t>
              </a:r>
              <a:r>
                <a:rPr kumimoji="1" lang="en-US" altLang="ja-JP" sz="900" b="0" i="0">
                  <a:solidFill>
                    <a:srgbClr val="0070C0"/>
                  </a:solidFill>
                  <a:latin typeface="Cambria Math" panose="02040503050406030204" pitchFamily="18" charset="0"/>
                </a:rPr>
                <a:t>𝐵</a:t>
              </a:r>
              <a:r>
                <a:rPr kumimoji="1" lang="ja-JP" altLang="en-US" sz="900" b="0" i="0">
                  <a:solidFill>
                    <a:srgbClr val="0070C0"/>
                  </a:solidFill>
                  <a:latin typeface="Cambria Math" panose="02040503050406030204" pitchFamily="18" charset="0"/>
                </a:rPr>
                <a:t>∕</a:t>
              </a:r>
              <a:r>
                <a:rPr kumimoji="1" lang="en-US" altLang="ja-JP" sz="900" b="0" i="0">
                  <a:solidFill>
                    <a:srgbClr val="0070C0"/>
                  </a:solidFill>
                  <a:latin typeface="Cambria Math" panose="02040503050406030204" pitchFamily="18" charset="0"/>
                </a:rPr>
                <a:t>𝐵_𝑆 </a:t>
              </a:r>
              <a:r>
                <a:rPr kumimoji="1" lang="ja-JP" altLang="en-US" sz="900" b="0" i="0">
                  <a:solidFill>
                    <a:srgbClr val="0070C0"/>
                  </a:solidFill>
                  <a:latin typeface="Cambria Math" panose="02040503050406030204" pitchFamily="18" charset="0"/>
                </a:rPr>
                <a:t>)</a:t>
              </a:r>
              <a:endParaRPr kumimoji="1" lang="ja-JP" altLang="en-US" sz="900">
                <a:solidFill>
                  <a:srgbClr val="0070C0"/>
                </a:solidFill>
              </a:endParaRPr>
            </a:p>
          </xdr:txBody>
        </xdr:sp>
      </mc:Fallback>
    </mc:AlternateContent>
    <xdr:clientData/>
  </xdr:oneCellAnchor>
  <xdr:oneCellAnchor>
    <xdr:from>
      <xdr:col>0</xdr:col>
      <xdr:colOff>297279</xdr:colOff>
      <xdr:row>31</xdr:row>
      <xdr:rowOff>6724</xdr:rowOff>
    </xdr:from>
    <xdr:ext cx="374974" cy="167738"/>
    <mc:AlternateContent xmlns:mc="http://schemas.openxmlformats.org/markup-compatibility/2006" xmlns:a14="http://schemas.microsoft.com/office/drawing/2010/main">
      <mc:Choice Requires="a14">
        <xdr:sp macro="" textlink="">
          <xdr:nvSpPr>
            <xdr:cNvPr id="7" name="テキスト ボックス 6"/>
            <xdr:cNvSpPr txBox="1"/>
          </xdr:nvSpPr>
          <xdr:spPr>
            <a:xfrm>
              <a:off x="297279" y="5762545"/>
              <a:ext cx="374974" cy="167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ad>
                      <m:radPr>
                        <m:degHide m:val="on"/>
                        <m:ctrlPr>
                          <a:rPr kumimoji="1" lang="ja-JP" altLang="en-US" sz="900" i="1">
                            <a:solidFill>
                              <a:srgbClr val="0000CC"/>
                            </a:solidFill>
                            <a:latin typeface="Cambria Math" panose="02040503050406030204" pitchFamily="18" charset="0"/>
                          </a:rPr>
                        </m:ctrlPr>
                      </m:radPr>
                      <m:deg/>
                      <m:e>
                        <m:f>
                          <m:fPr>
                            <m:type m:val="lin"/>
                            <m:ctrlPr>
                              <a:rPr kumimoji="1" lang="ja-JP" altLang="en-US" sz="900" i="1">
                                <a:solidFill>
                                  <a:srgbClr val="0000CC"/>
                                </a:solidFill>
                                <a:latin typeface="Cambria Math" panose="02040503050406030204" pitchFamily="18" charset="0"/>
                              </a:rPr>
                            </m:ctrlPr>
                          </m:fPr>
                          <m:num>
                            <m:r>
                              <a:rPr kumimoji="1" lang="en-US" altLang="ja-JP" sz="900" b="0" i="1">
                                <a:solidFill>
                                  <a:srgbClr val="0000CC"/>
                                </a:solidFill>
                                <a:latin typeface="Cambria Math" panose="02040503050406030204" pitchFamily="18" charset="0"/>
                              </a:rPr>
                              <m:t>𝐵</m:t>
                            </m:r>
                          </m:num>
                          <m:den>
                            <m:sSub>
                              <m:sSubPr>
                                <m:ctrlPr>
                                  <a:rPr kumimoji="1" lang="en-US" altLang="ja-JP" sz="900" i="1">
                                    <a:solidFill>
                                      <a:srgbClr val="0000CC"/>
                                    </a:solidFill>
                                    <a:latin typeface="Cambria Math" panose="02040503050406030204" pitchFamily="18" charset="0"/>
                                  </a:rPr>
                                </m:ctrlPr>
                              </m:sSubPr>
                              <m:e>
                                <m:r>
                                  <a:rPr kumimoji="1" lang="en-US" altLang="ja-JP" sz="900" b="0" i="1">
                                    <a:solidFill>
                                      <a:srgbClr val="0000CC"/>
                                    </a:solidFill>
                                    <a:latin typeface="Cambria Math" panose="02040503050406030204" pitchFamily="18" charset="0"/>
                                  </a:rPr>
                                  <m:t>𝐵</m:t>
                                </m:r>
                              </m:e>
                              <m:sub>
                                <m:r>
                                  <a:rPr kumimoji="1" lang="en-US" altLang="ja-JP" sz="900" b="0" i="1">
                                    <a:solidFill>
                                      <a:srgbClr val="0000CC"/>
                                    </a:solidFill>
                                    <a:latin typeface="Cambria Math" panose="02040503050406030204" pitchFamily="18" charset="0"/>
                                  </a:rPr>
                                  <m:t>𝑆</m:t>
                                </m:r>
                              </m:sub>
                            </m:sSub>
                          </m:den>
                        </m:f>
                      </m:e>
                    </m:rad>
                  </m:oMath>
                </m:oMathPara>
              </a14:m>
              <a:endParaRPr kumimoji="1" lang="ja-JP" altLang="en-US" sz="900">
                <a:solidFill>
                  <a:srgbClr val="0000CC"/>
                </a:solidFill>
              </a:endParaRPr>
            </a:p>
          </xdr:txBody>
        </xdr:sp>
      </mc:Choice>
      <mc:Fallback xmlns="">
        <xdr:sp macro="" textlink="">
          <xdr:nvSpPr>
            <xdr:cNvPr id="7" name="テキスト ボックス 6"/>
            <xdr:cNvSpPr txBox="1"/>
          </xdr:nvSpPr>
          <xdr:spPr>
            <a:xfrm>
              <a:off x="297279" y="5762545"/>
              <a:ext cx="374974" cy="167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ja-JP" altLang="en-US" sz="900" i="0">
                  <a:solidFill>
                    <a:srgbClr val="0000CC"/>
                  </a:solidFill>
                  <a:latin typeface="Cambria Math" panose="02040503050406030204" pitchFamily="18" charset="0"/>
                </a:rPr>
                <a:t>√(</a:t>
              </a:r>
              <a:r>
                <a:rPr kumimoji="1" lang="en-US" altLang="ja-JP" sz="900" b="0" i="0">
                  <a:solidFill>
                    <a:srgbClr val="0000CC"/>
                  </a:solidFill>
                  <a:latin typeface="Cambria Math" panose="02040503050406030204" pitchFamily="18" charset="0"/>
                </a:rPr>
                <a:t>𝐵</a:t>
              </a:r>
              <a:r>
                <a:rPr kumimoji="1" lang="ja-JP" altLang="en-US" sz="900" b="0" i="0">
                  <a:solidFill>
                    <a:srgbClr val="0000CC"/>
                  </a:solidFill>
                  <a:latin typeface="Cambria Math" panose="02040503050406030204" pitchFamily="18" charset="0"/>
                </a:rPr>
                <a:t>∕</a:t>
              </a:r>
              <a:r>
                <a:rPr kumimoji="1" lang="en-US" altLang="ja-JP" sz="900" b="0" i="0">
                  <a:solidFill>
                    <a:srgbClr val="0000CC"/>
                  </a:solidFill>
                  <a:latin typeface="Cambria Math" panose="02040503050406030204" pitchFamily="18" charset="0"/>
                </a:rPr>
                <a:t>𝐵_𝑆 </a:t>
              </a:r>
              <a:r>
                <a:rPr kumimoji="1" lang="ja-JP" altLang="en-US" sz="900" b="0" i="0">
                  <a:solidFill>
                    <a:srgbClr val="0000CC"/>
                  </a:solidFill>
                  <a:latin typeface="Cambria Math" panose="02040503050406030204" pitchFamily="18" charset="0"/>
                </a:rPr>
                <a:t>)</a:t>
              </a:r>
              <a:endParaRPr kumimoji="1" lang="ja-JP" altLang="en-US" sz="900">
                <a:solidFill>
                  <a:srgbClr val="0000CC"/>
                </a:solidFill>
              </a:endParaRPr>
            </a:p>
          </xdr:txBody>
        </xdr:sp>
      </mc:Fallback>
    </mc:AlternateContent>
    <xdr:clientData/>
  </xdr:oneCellAnchor>
  <mc:AlternateContent xmlns:mc="http://schemas.openxmlformats.org/markup-compatibility/2006">
    <mc:Choice xmlns:a14="http://schemas.microsoft.com/office/drawing/2010/main" Requires="a14">
      <xdr:twoCellAnchor editAs="oneCell">
        <xdr:from>
          <xdr:col>7</xdr:col>
          <xdr:colOff>28575</xdr:colOff>
          <xdr:row>21</xdr:row>
          <xdr:rowOff>9525</xdr:rowOff>
        </xdr:from>
        <xdr:to>
          <xdr:col>7</xdr:col>
          <xdr:colOff>390525</xdr:colOff>
          <xdr:row>21</xdr:row>
          <xdr:rowOff>152400</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9525</xdr:rowOff>
        </xdr:from>
        <xdr:to>
          <xdr:col>9</xdr:col>
          <xdr:colOff>5443</xdr:colOff>
          <xdr:row>21</xdr:row>
          <xdr:rowOff>152400</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x</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xdr:row>
          <xdr:rowOff>9525</xdr:rowOff>
        </xdr:from>
        <xdr:to>
          <xdr:col>10</xdr:col>
          <xdr:colOff>5443</xdr:colOff>
          <xdr:row>21</xdr:row>
          <xdr:rowOff>152400</xdr:rowOff>
        </xdr:to>
        <xdr:sp macro="" textlink="">
          <xdr:nvSpPr>
            <xdr:cNvPr id="1031" name="Option Button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a:t>
              </a:r>
            </a:p>
          </xdr:txBody>
        </xdr:sp>
        <xdr:clientData fLocksWithSheet="0"/>
      </xdr:twoCellAnchor>
    </mc:Choice>
    <mc:Fallback/>
  </mc:AlternateContent>
</xdr:wsDr>
</file>

<file path=xl/drawings/drawing10.xml><?xml version="1.0" encoding="utf-8"?>
<c:userShapes xmlns:c="http://schemas.openxmlformats.org/drawingml/2006/chart">
  <cdr:relSizeAnchor xmlns:cdr="http://schemas.openxmlformats.org/drawingml/2006/chartDrawing">
    <cdr:from>
      <cdr:x>0.85248</cdr:x>
      <cdr:y>0.3404</cdr:y>
    </cdr:from>
    <cdr:to>
      <cdr:x>0.93351</cdr:x>
      <cdr:y>0.36704</cdr:y>
    </cdr:to>
    <cdr:sp macro="" textlink="">
      <cdr:nvSpPr>
        <cdr:cNvPr id="30722" name="Text Box 1"/>
        <cdr:cNvSpPr txBox="1">
          <a:spLocks xmlns:a="http://schemas.openxmlformats.org/drawingml/2006/main" noChangeArrowheads="1"/>
        </cdr:cNvSpPr>
      </cdr:nvSpPr>
      <cdr:spPr bwMode="auto">
        <a:xfrm xmlns:a="http://schemas.openxmlformats.org/drawingml/2006/main">
          <a:off x="3892614" y="2444621"/>
          <a:ext cx="369662" cy="19108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Lr-80</a:t>
          </a:r>
        </a:p>
        <a:p xmlns:a="http://schemas.openxmlformats.org/drawingml/2006/main">
          <a:pPr algn="ctr" rtl="0">
            <a:defRPr sz="1000"/>
          </a:pPr>
          <a:endParaRPr lang="ja-JP" altLang="en-US"/>
        </a:p>
      </cdr:txBody>
    </cdr:sp>
  </cdr:relSizeAnchor>
  <cdr:relSizeAnchor xmlns:cdr="http://schemas.openxmlformats.org/drawingml/2006/chartDrawing">
    <cdr:from>
      <cdr:x>0.85248</cdr:x>
      <cdr:y>0.46991</cdr:y>
    </cdr:from>
    <cdr:to>
      <cdr:x>0.93351</cdr:x>
      <cdr:y>0.49679</cdr:y>
    </cdr:to>
    <cdr:sp macro="" textlink="">
      <cdr:nvSpPr>
        <cdr:cNvPr id="30724" name="Text Box 1"/>
        <cdr:cNvSpPr txBox="1">
          <a:spLocks xmlns:a="http://schemas.openxmlformats.org/drawingml/2006/main" noChangeArrowheads="1"/>
        </cdr:cNvSpPr>
      </cdr:nvSpPr>
      <cdr:spPr bwMode="auto">
        <a:xfrm xmlns:a="http://schemas.openxmlformats.org/drawingml/2006/main">
          <a:off x="3892614" y="3373487"/>
          <a:ext cx="369662" cy="19285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Lr-65</a:t>
          </a:r>
        </a:p>
        <a:p xmlns:a="http://schemas.openxmlformats.org/drawingml/2006/main">
          <a:pPr algn="ctr" rtl="0">
            <a:defRPr sz="1000"/>
          </a:pPr>
          <a:endParaRPr lang="ja-JP" altLang="en-US"/>
        </a:p>
      </cdr:txBody>
    </cdr:sp>
  </cdr:relSizeAnchor>
  <cdr:relSizeAnchor xmlns:cdr="http://schemas.openxmlformats.org/drawingml/2006/chartDrawing">
    <cdr:from>
      <cdr:x>0.85248</cdr:x>
      <cdr:y>0.51332</cdr:y>
    </cdr:from>
    <cdr:to>
      <cdr:x>0.93351</cdr:x>
      <cdr:y>0.54095</cdr:y>
    </cdr:to>
    <cdr:sp macro="" textlink="">
      <cdr:nvSpPr>
        <cdr:cNvPr id="30725" name="Text Box 1"/>
        <cdr:cNvSpPr txBox="1">
          <a:spLocks xmlns:a="http://schemas.openxmlformats.org/drawingml/2006/main" noChangeArrowheads="1"/>
        </cdr:cNvSpPr>
      </cdr:nvSpPr>
      <cdr:spPr bwMode="auto">
        <a:xfrm xmlns:a="http://schemas.openxmlformats.org/drawingml/2006/main">
          <a:off x="3892614" y="3684878"/>
          <a:ext cx="369662" cy="19815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Lr-60</a:t>
          </a:r>
        </a:p>
        <a:p xmlns:a="http://schemas.openxmlformats.org/drawingml/2006/main">
          <a:pPr algn="ctr" rtl="0">
            <a:defRPr sz="1000"/>
          </a:pPr>
          <a:endParaRPr lang="ja-JP" altLang="en-US"/>
        </a:p>
      </cdr:txBody>
    </cdr:sp>
  </cdr:relSizeAnchor>
  <cdr:relSizeAnchor xmlns:cdr="http://schemas.openxmlformats.org/drawingml/2006/chartDrawing">
    <cdr:from>
      <cdr:x>0.85248</cdr:x>
      <cdr:y>0.55723</cdr:y>
    </cdr:from>
    <cdr:to>
      <cdr:x>0.93351</cdr:x>
      <cdr:y>0.58412</cdr:y>
    </cdr:to>
    <cdr:sp macro="" textlink="">
      <cdr:nvSpPr>
        <cdr:cNvPr id="30726" name="Text Box 1"/>
        <cdr:cNvSpPr txBox="1">
          <a:spLocks xmlns:a="http://schemas.openxmlformats.org/drawingml/2006/main" noChangeArrowheads="1"/>
        </cdr:cNvSpPr>
      </cdr:nvSpPr>
      <cdr:spPr bwMode="auto">
        <a:xfrm xmlns:a="http://schemas.openxmlformats.org/drawingml/2006/main">
          <a:off x="3892614" y="3999808"/>
          <a:ext cx="369662" cy="19285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Lr-55</a:t>
          </a:r>
        </a:p>
        <a:p xmlns:a="http://schemas.openxmlformats.org/drawingml/2006/main">
          <a:pPr algn="ctr" rtl="0">
            <a:defRPr sz="1000"/>
          </a:pPr>
          <a:endParaRPr lang="ja-JP" altLang="en-US"/>
        </a:p>
      </cdr:txBody>
    </cdr:sp>
  </cdr:relSizeAnchor>
  <cdr:relSizeAnchor xmlns:cdr="http://schemas.openxmlformats.org/drawingml/2006/chartDrawing">
    <cdr:from>
      <cdr:x>0.85248</cdr:x>
      <cdr:y>0.60065</cdr:y>
    </cdr:from>
    <cdr:to>
      <cdr:x>0.93351</cdr:x>
      <cdr:y>0.62729</cdr:y>
    </cdr:to>
    <cdr:sp macro="" textlink="">
      <cdr:nvSpPr>
        <cdr:cNvPr id="30727" name="Text Box 1"/>
        <cdr:cNvSpPr txBox="1">
          <a:spLocks xmlns:a="http://schemas.openxmlformats.org/drawingml/2006/main" noChangeArrowheads="1"/>
        </cdr:cNvSpPr>
      </cdr:nvSpPr>
      <cdr:spPr bwMode="auto">
        <a:xfrm xmlns:a="http://schemas.openxmlformats.org/drawingml/2006/main">
          <a:off x="3892614" y="4311199"/>
          <a:ext cx="369662" cy="19108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Lr-50</a:t>
          </a:r>
        </a:p>
        <a:p xmlns:a="http://schemas.openxmlformats.org/drawingml/2006/main">
          <a:pPr algn="ctr" rtl="0">
            <a:defRPr sz="1000"/>
          </a:pPr>
          <a:endParaRPr lang="ja-JP" altLang="en-US"/>
        </a:p>
      </cdr:txBody>
    </cdr:sp>
  </cdr:relSizeAnchor>
  <cdr:relSizeAnchor xmlns:cdr="http://schemas.openxmlformats.org/drawingml/2006/chartDrawing">
    <cdr:from>
      <cdr:x>0.85248</cdr:x>
      <cdr:y>0.64381</cdr:y>
    </cdr:from>
    <cdr:to>
      <cdr:x>0.93351</cdr:x>
      <cdr:y>0.6707</cdr:y>
    </cdr:to>
    <cdr:sp macro="" textlink="">
      <cdr:nvSpPr>
        <cdr:cNvPr id="30728" name="Text Box 1"/>
        <cdr:cNvSpPr txBox="1">
          <a:spLocks xmlns:a="http://schemas.openxmlformats.org/drawingml/2006/main" noChangeArrowheads="1"/>
        </cdr:cNvSpPr>
      </cdr:nvSpPr>
      <cdr:spPr bwMode="auto">
        <a:xfrm xmlns:a="http://schemas.openxmlformats.org/drawingml/2006/main">
          <a:off x="3892614" y="4620821"/>
          <a:ext cx="369662" cy="19285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Lr-45</a:t>
          </a:r>
        </a:p>
        <a:p xmlns:a="http://schemas.openxmlformats.org/drawingml/2006/main">
          <a:pPr algn="ctr" rtl="0">
            <a:defRPr sz="1000"/>
          </a:pPr>
          <a:endParaRPr lang="ja-JP" altLang="en-US"/>
        </a:p>
      </cdr:txBody>
    </cdr:sp>
  </cdr:relSizeAnchor>
  <cdr:relSizeAnchor xmlns:cdr="http://schemas.openxmlformats.org/drawingml/2006/chartDrawing">
    <cdr:from>
      <cdr:x>0.85248</cdr:x>
      <cdr:y>0.68698</cdr:y>
    </cdr:from>
    <cdr:to>
      <cdr:x>0.93351</cdr:x>
      <cdr:y>0.71387</cdr:y>
    </cdr:to>
    <cdr:sp macro="" textlink="">
      <cdr:nvSpPr>
        <cdr:cNvPr id="30729" name="Text Box 1"/>
        <cdr:cNvSpPr txBox="1">
          <a:spLocks xmlns:a="http://schemas.openxmlformats.org/drawingml/2006/main" noChangeArrowheads="1"/>
        </cdr:cNvSpPr>
      </cdr:nvSpPr>
      <cdr:spPr bwMode="auto">
        <a:xfrm xmlns:a="http://schemas.openxmlformats.org/drawingml/2006/main">
          <a:off x="3892614" y="4930443"/>
          <a:ext cx="369662" cy="19285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Lr-40</a:t>
          </a:r>
        </a:p>
        <a:p xmlns:a="http://schemas.openxmlformats.org/drawingml/2006/main">
          <a:pPr algn="ctr" rtl="0">
            <a:defRPr sz="1000"/>
          </a:pPr>
          <a:endParaRPr lang="ja-JP" altLang="en-US"/>
        </a:p>
      </cdr:txBody>
    </cdr:sp>
  </cdr:relSizeAnchor>
  <cdr:relSizeAnchor xmlns:cdr="http://schemas.openxmlformats.org/drawingml/2006/chartDrawing">
    <cdr:from>
      <cdr:x>0.85248</cdr:x>
      <cdr:y>0.73015</cdr:y>
    </cdr:from>
    <cdr:to>
      <cdr:x>0.93351</cdr:x>
      <cdr:y>0.75704</cdr:y>
    </cdr:to>
    <cdr:sp macro="" textlink="">
      <cdr:nvSpPr>
        <cdr:cNvPr id="30730" name="Text Box 1"/>
        <cdr:cNvSpPr txBox="1">
          <a:spLocks xmlns:a="http://schemas.openxmlformats.org/drawingml/2006/main" noChangeArrowheads="1"/>
        </cdr:cNvSpPr>
      </cdr:nvSpPr>
      <cdr:spPr bwMode="auto">
        <a:xfrm xmlns:a="http://schemas.openxmlformats.org/drawingml/2006/main">
          <a:off x="3892614" y="5240065"/>
          <a:ext cx="369662" cy="19285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Lr-35</a:t>
          </a:r>
        </a:p>
        <a:p xmlns:a="http://schemas.openxmlformats.org/drawingml/2006/main">
          <a:pPr algn="ctr" rtl="0">
            <a:defRPr sz="1000"/>
          </a:pPr>
          <a:endParaRPr lang="ja-JP" altLang="en-US"/>
        </a:p>
      </cdr:txBody>
    </cdr:sp>
  </cdr:relSizeAnchor>
  <cdr:relSizeAnchor xmlns:cdr="http://schemas.openxmlformats.org/drawingml/2006/chartDrawing">
    <cdr:from>
      <cdr:x>0.85248</cdr:x>
      <cdr:y>0.77357</cdr:y>
    </cdr:from>
    <cdr:to>
      <cdr:x>0.93351</cdr:x>
      <cdr:y>0.80021</cdr:y>
    </cdr:to>
    <cdr:sp macro="" textlink="">
      <cdr:nvSpPr>
        <cdr:cNvPr id="30731" name="Text Box 1"/>
        <cdr:cNvSpPr txBox="1">
          <a:spLocks xmlns:a="http://schemas.openxmlformats.org/drawingml/2006/main" noChangeArrowheads="1"/>
        </cdr:cNvSpPr>
      </cdr:nvSpPr>
      <cdr:spPr bwMode="auto">
        <a:xfrm xmlns:a="http://schemas.openxmlformats.org/drawingml/2006/main">
          <a:off x="3892614" y="5551457"/>
          <a:ext cx="369662" cy="19108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Lr-30</a:t>
          </a:r>
        </a:p>
        <a:p xmlns:a="http://schemas.openxmlformats.org/drawingml/2006/main">
          <a:pPr algn="ctr" rtl="0">
            <a:defRPr sz="1000"/>
          </a:pPr>
          <a:endParaRPr lang="ja-JP" altLang="en-US"/>
        </a:p>
      </cdr:txBody>
    </cdr:sp>
  </cdr:relSizeAnchor>
  <cdr:relSizeAnchor xmlns:cdr="http://schemas.openxmlformats.org/drawingml/2006/chartDrawing">
    <cdr:from>
      <cdr:x>0.85248</cdr:x>
      <cdr:y>0.38357</cdr:y>
    </cdr:from>
    <cdr:to>
      <cdr:x>0.93351</cdr:x>
      <cdr:y>0.41046</cdr:y>
    </cdr:to>
    <cdr:sp macro="" textlink="">
      <cdr:nvSpPr>
        <cdr:cNvPr id="30732" name="Text Box 1"/>
        <cdr:cNvSpPr txBox="1">
          <a:spLocks xmlns:a="http://schemas.openxmlformats.org/drawingml/2006/main" noChangeArrowheads="1"/>
        </cdr:cNvSpPr>
      </cdr:nvSpPr>
      <cdr:spPr bwMode="auto">
        <a:xfrm xmlns:a="http://schemas.openxmlformats.org/drawingml/2006/main">
          <a:off x="3892614" y="2754243"/>
          <a:ext cx="369662" cy="19285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Lr-75</a:t>
          </a:r>
        </a:p>
        <a:p xmlns:a="http://schemas.openxmlformats.org/drawingml/2006/main">
          <a:pPr algn="ctr" rtl="0">
            <a:defRPr sz="1000"/>
          </a:pPr>
          <a:endParaRPr lang="ja-JP" altLang="en-US"/>
        </a:p>
      </cdr:txBody>
    </cdr:sp>
  </cdr:relSizeAnchor>
  <cdr:relSizeAnchor xmlns:cdr="http://schemas.openxmlformats.org/drawingml/2006/chartDrawing">
    <cdr:from>
      <cdr:x>0.85248</cdr:x>
      <cdr:y>0.42674</cdr:y>
    </cdr:from>
    <cdr:to>
      <cdr:x>0.93351</cdr:x>
      <cdr:y>0.45436</cdr:y>
    </cdr:to>
    <cdr:sp macro="" textlink="">
      <cdr:nvSpPr>
        <cdr:cNvPr id="30733" name="Text Box 1"/>
        <cdr:cNvSpPr txBox="1">
          <a:spLocks xmlns:a="http://schemas.openxmlformats.org/drawingml/2006/main" noChangeArrowheads="1"/>
        </cdr:cNvSpPr>
      </cdr:nvSpPr>
      <cdr:spPr bwMode="auto">
        <a:xfrm xmlns:a="http://schemas.openxmlformats.org/drawingml/2006/main">
          <a:off x="3892614" y="3063865"/>
          <a:ext cx="369662" cy="19815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Lr-70</a:t>
          </a:r>
        </a:p>
        <a:p xmlns:a="http://schemas.openxmlformats.org/drawingml/2006/main">
          <a:pPr algn="ctr" rtl="0">
            <a:defRPr sz="1000"/>
          </a:pPr>
          <a:endParaRPr lang="ja-JP" altLang="en-US"/>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0</xdr:colOff>
      <xdr:row>132</xdr:row>
      <xdr:rowOff>0</xdr:rowOff>
    </xdr:from>
    <xdr:to>
      <xdr:col>1</xdr:col>
      <xdr:colOff>0</xdr:colOff>
      <xdr:row>132</xdr:row>
      <xdr:rowOff>0</xdr:rowOff>
    </xdr:to>
    <xdr:sp macro="" textlink="">
      <xdr:nvSpPr>
        <xdr:cNvPr id="2318" name="Line 29"/>
        <xdr:cNvSpPr>
          <a:spLocks noChangeShapeType="1"/>
        </xdr:cNvSpPr>
      </xdr:nvSpPr>
      <xdr:spPr bwMode="auto">
        <a:xfrm>
          <a:off x="485775" y="16916400"/>
          <a:ext cx="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type="triangle" w="lg" len="lg"/>
          <a:tailEnd type="triangle" w="lg"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132</xdr:row>
      <xdr:rowOff>0</xdr:rowOff>
    </xdr:from>
    <xdr:to>
      <xdr:col>1</xdr:col>
      <xdr:colOff>0</xdr:colOff>
      <xdr:row>132</xdr:row>
      <xdr:rowOff>0</xdr:rowOff>
    </xdr:to>
    <xdr:sp macro="" textlink="">
      <xdr:nvSpPr>
        <xdr:cNvPr id="2319" name="Line 30"/>
        <xdr:cNvSpPr>
          <a:spLocks noChangeShapeType="1"/>
        </xdr:cNvSpPr>
      </xdr:nvSpPr>
      <xdr:spPr bwMode="auto">
        <a:xfrm flipH="1">
          <a:off x="485775" y="16916400"/>
          <a:ext cx="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type="triangle" w="lg" len="lg"/>
          <a:tailEnd type="triangle" w="lg"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132</xdr:row>
      <xdr:rowOff>0</xdr:rowOff>
    </xdr:from>
    <xdr:to>
      <xdr:col>1</xdr:col>
      <xdr:colOff>0</xdr:colOff>
      <xdr:row>132</xdr:row>
      <xdr:rowOff>0</xdr:rowOff>
    </xdr:to>
    <xdr:sp macro="" textlink="">
      <xdr:nvSpPr>
        <xdr:cNvPr id="2322" name="Line 62"/>
        <xdr:cNvSpPr>
          <a:spLocks noChangeShapeType="1"/>
        </xdr:cNvSpPr>
      </xdr:nvSpPr>
      <xdr:spPr bwMode="auto">
        <a:xfrm>
          <a:off x="485775" y="16916400"/>
          <a:ext cx="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type="triangle" w="lg" len="lg"/>
          <a:tailEnd type="triangle" w="lg"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132</xdr:row>
      <xdr:rowOff>0</xdr:rowOff>
    </xdr:from>
    <xdr:to>
      <xdr:col>1</xdr:col>
      <xdr:colOff>0</xdr:colOff>
      <xdr:row>132</xdr:row>
      <xdr:rowOff>0</xdr:rowOff>
    </xdr:to>
    <xdr:sp macro="" textlink="">
      <xdr:nvSpPr>
        <xdr:cNvPr id="2323" name="Line 63"/>
        <xdr:cNvSpPr>
          <a:spLocks noChangeShapeType="1"/>
        </xdr:cNvSpPr>
      </xdr:nvSpPr>
      <xdr:spPr bwMode="auto">
        <a:xfrm flipH="1">
          <a:off x="485775" y="16916400"/>
          <a:ext cx="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type="triangle" w="lg" len="lg"/>
          <a:tailEnd type="triangle" w="lg"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132</xdr:row>
      <xdr:rowOff>0</xdr:rowOff>
    </xdr:from>
    <xdr:to>
      <xdr:col>2</xdr:col>
      <xdr:colOff>0</xdr:colOff>
      <xdr:row>132</xdr:row>
      <xdr:rowOff>0</xdr:rowOff>
    </xdr:to>
    <xdr:sp macro="" textlink="">
      <xdr:nvSpPr>
        <xdr:cNvPr id="2113" name="Text Box 65"/>
        <xdr:cNvSpPr txBox="1">
          <a:spLocks noChangeArrowheads="1"/>
        </xdr:cNvSpPr>
      </xdr:nvSpPr>
      <xdr:spPr bwMode="auto">
        <a:xfrm>
          <a:off x="485775" y="16878300"/>
          <a:ext cx="485775"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6576" rIns="45720" bIns="36576" anchor="ctr" upright="1"/>
        <a:lstStyle/>
        <a:p>
          <a:pPr algn="ctr" rtl="0">
            <a:defRPr sz="1000"/>
          </a:pPr>
          <a:r>
            <a:rPr lang="en-US" altLang="ja-JP" sz="1800" b="0" i="0" u="none" strike="noStrike" baseline="0">
              <a:solidFill>
                <a:srgbClr val="0000FF"/>
              </a:solidFill>
              <a:latin typeface="Arial"/>
              <a:cs typeface="Arial"/>
            </a:rPr>
            <a:t>h</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76200</xdr:colOff>
      <xdr:row>18</xdr:row>
      <xdr:rowOff>28575</xdr:rowOff>
    </xdr:from>
    <xdr:to>
      <xdr:col>10</xdr:col>
      <xdr:colOff>400050</xdr:colOff>
      <xdr:row>66</xdr:row>
      <xdr:rowOff>9525</xdr:rowOff>
    </xdr:to>
    <xdr:graphicFrame macro="">
      <xdr:nvGraphicFramePr>
        <xdr:cNvPr id="412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60</xdr:row>
          <xdr:rowOff>76200</xdr:rowOff>
        </xdr:from>
        <xdr:to>
          <xdr:col>36</xdr:col>
          <xdr:colOff>228600</xdr:colOff>
          <xdr:row>69</xdr:row>
          <xdr:rowOff>95250</xdr:rowOff>
        </xdr:to>
        <xdr:sp macro="" textlink="">
          <xdr:nvSpPr>
            <xdr:cNvPr id="3073" name="ピクチャ 5"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133350</xdr:rowOff>
        </xdr:from>
        <xdr:to>
          <xdr:col>36</xdr:col>
          <xdr:colOff>323850</xdr:colOff>
          <xdr:row>22</xdr:row>
          <xdr:rowOff>161925</xdr:rowOff>
        </xdr:to>
        <xdr:sp macro="" textlink="">
          <xdr:nvSpPr>
            <xdr:cNvPr id="3074" name="ピクチャ 6" hidden="1">
              <a:extLst>
                <a:ext uri="{63B3BB69-23CF-44E3-9099-C40C66FF867C}">
                  <a14:compatExt spid="_x0000_s307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466725</xdr:colOff>
      <xdr:row>27</xdr:row>
      <xdr:rowOff>66675</xdr:rowOff>
    </xdr:from>
    <xdr:to>
      <xdr:col>26</xdr:col>
      <xdr:colOff>333375</xdr:colOff>
      <xdr:row>27</xdr:row>
      <xdr:rowOff>66675</xdr:rowOff>
    </xdr:to>
    <xdr:sp macro="" textlink="">
      <xdr:nvSpPr>
        <xdr:cNvPr id="3150" name="Line 3"/>
        <xdr:cNvSpPr>
          <a:spLocks noChangeShapeType="1"/>
        </xdr:cNvSpPr>
      </xdr:nvSpPr>
      <xdr:spPr bwMode="auto">
        <a:xfrm>
          <a:off x="5876925" y="5029200"/>
          <a:ext cx="4095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4</xdr:col>
      <xdr:colOff>495300</xdr:colOff>
      <xdr:row>23</xdr:row>
      <xdr:rowOff>161925</xdr:rowOff>
    </xdr:from>
    <xdr:to>
      <xdr:col>25</xdr:col>
      <xdr:colOff>381000</xdr:colOff>
      <xdr:row>33</xdr:row>
      <xdr:rowOff>0</xdr:rowOff>
    </xdr:to>
    <xdr:pic>
      <xdr:nvPicPr>
        <xdr:cNvPr id="3151"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0" y="4438650"/>
          <a:ext cx="3124200" cy="155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95250</xdr:colOff>
      <xdr:row>23</xdr:row>
      <xdr:rowOff>161925</xdr:rowOff>
    </xdr:from>
    <xdr:to>
      <xdr:col>39</xdr:col>
      <xdr:colOff>542925</xdr:colOff>
      <xdr:row>32</xdr:row>
      <xdr:rowOff>66675</xdr:rowOff>
    </xdr:to>
    <xdr:pic>
      <xdr:nvPicPr>
        <xdr:cNvPr id="3152"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91300" y="4438650"/>
          <a:ext cx="327660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152400</xdr:colOff>
      <xdr:row>3</xdr:row>
      <xdr:rowOff>104775</xdr:rowOff>
    </xdr:from>
    <xdr:to>
      <xdr:col>29</xdr:col>
      <xdr:colOff>19051</xdr:colOff>
      <xdr:row>34</xdr:row>
      <xdr:rowOff>66675</xdr:rowOff>
    </xdr:to>
    <xdr:graphicFrame macro="">
      <xdr:nvGraphicFramePr>
        <xdr:cNvPr id="2" name="グラフ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0.85248</cdr:x>
      <cdr:y>0.3404</cdr:y>
    </cdr:from>
    <cdr:to>
      <cdr:x>0.93351</cdr:x>
      <cdr:y>0.36704</cdr:y>
    </cdr:to>
    <cdr:sp macro="" textlink="">
      <cdr:nvSpPr>
        <cdr:cNvPr id="30722" name="Text Box 1"/>
        <cdr:cNvSpPr txBox="1">
          <a:spLocks xmlns:a="http://schemas.openxmlformats.org/drawingml/2006/main" noChangeArrowheads="1"/>
        </cdr:cNvSpPr>
      </cdr:nvSpPr>
      <cdr:spPr bwMode="auto">
        <a:xfrm xmlns:a="http://schemas.openxmlformats.org/drawingml/2006/main">
          <a:off x="3892614" y="2444621"/>
          <a:ext cx="369662" cy="19108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Lr-80</a:t>
          </a:r>
        </a:p>
        <a:p xmlns:a="http://schemas.openxmlformats.org/drawingml/2006/main">
          <a:pPr algn="ctr" rtl="0">
            <a:defRPr sz="1000"/>
          </a:pPr>
          <a:endParaRPr lang="ja-JP" altLang="en-US"/>
        </a:p>
      </cdr:txBody>
    </cdr:sp>
  </cdr:relSizeAnchor>
  <cdr:relSizeAnchor xmlns:cdr="http://schemas.openxmlformats.org/drawingml/2006/chartDrawing">
    <cdr:from>
      <cdr:x>0.85248</cdr:x>
      <cdr:y>0.46991</cdr:y>
    </cdr:from>
    <cdr:to>
      <cdr:x>0.93351</cdr:x>
      <cdr:y>0.49679</cdr:y>
    </cdr:to>
    <cdr:sp macro="" textlink="">
      <cdr:nvSpPr>
        <cdr:cNvPr id="30724" name="Text Box 1"/>
        <cdr:cNvSpPr txBox="1">
          <a:spLocks xmlns:a="http://schemas.openxmlformats.org/drawingml/2006/main" noChangeArrowheads="1"/>
        </cdr:cNvSpPr>
      </cdr:nvSpPr>
      <cdr:spPr bwMode="auto">
        <a:xfrm xmlns:a="http://schemas.openxmlformats.org/drawingml/2006/main">
          <a:off x="3892614" y="3373487"/>
          <a:ext cx="369662" cy="19285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Lr-65</a:t>
          </a:r>
        </a:p>
        <a:p xmlns:a="http://schemas.openxmlformats.org/drawingml/2006/main">
          <a:pPr algn="ctr" rtl="0">
            <a:defRPr sz="1000"/>
          </a:pPr>
          <a:endParaRPr lang="ja-JP" altLang="en-US"/>
        </a:p>
      </cdr:txBody>
    </cdr:sp>
  </cdr:relSizeAnchor>
  <cdr:relSizeAnchor xmlns:cdr="http://schemas.openxmlformats.org/drawingml/2006/chartDrawing">
    <cdr:from>
      <cdr:x>0.85248</cdr:x>
      <cdr:y>0.51332</cdr:y>
    </cdr:from>
    <cdr:to>
      <cdr:x>0.93351</cdr:x>
      <cdr:y>0.54095</cdr:y>
    </cdr:to>
    <cdr:sp macro="" textlink="">
      <cdr:nvSpPr>
        <cdr:cNvPr id="30725" name="Text Box 1"/>
        <cdr:cNvSpPr txBox="1">
          <a:spLocks xmlns:a="http://schemas.openxmlformats.org/drawingml/2006/main" noChangeArrowheads="1"/>
        </cdr:cNvSpPr>
      </cdr:nvSpPr>
      <cdr:spPr bwMode="auto">
        <a:xfrm xmlns:a="http://schemas.openxmlformats.org/drawingml/2006/main">
          <a:off x="3892614" y="3684878"/>
          <a:ext cx="369662" cy="19815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Lr-60</a:t>
          </a:r>
        </a:p>
        <a:p xmlns:a="http://schemas.openxmlformats.org/drawingml/2006/main">
          <a:pPr algn="ctr" rtl="0">
            <a:defRPr sz="1000"/>
          </a:pPr>
          <a:endParaRPr lang="ja-JP" altLang="en-US"/>
        </a:p>
      </cdr:txBody>
    </cdr:sp>
  </cdr:relSizeAnchor>
  <cdr:relSizeAnchor xmlns:cdr="http://schemas.openxmlformats.org/drawingml/2006/chartDrawing">
    <cdr:from>
      <cdr:x>0.85248</cdr:x>
      <cdr:y>0.55723</cdr:y>
    </cdr:from>
    <cdr:to>
      <cdr:x>0.93351</cdr:x>
      <cdr:y>0.58412</cdr:y>
    </cdr:to>
    <cdr:sp macro="" textlink="">
      <cdr:nvSpPr>
        <cdr:cNvPr id="30726" name="Text Box 1"/>
        <cdr:cNvSpPr txBox="1">
          <a:spLocks xmlns:a="http://schemas.openxmlformats.org/drawingml/2006/main" noChangeArrowheads="1"/>
        </cdr:cNvSpPr>
      </cdr:nvSpPr>
      <cdr:spPr bwMode="auto">
        <a:xfrm xmlns:a="http://schemas.openxmlformats.org/drawingml/2006/main">
          <a:off x="3892614" y="3999808"/>
          <a:ext cx="369662" cy="19285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Lr-55</a:t>
          </a:r>
        </a:p>
        <a:p xmlns:a="http://schemas.openxmlformats.org/drawingml/2006/main">
          <a:pPr algn="ctr" rtl="0">
            <a:defRPr sz="1000"/>
          </a:pPr>
          <a:endParaRPr lang="ja-JP" altLang="en-US"/>
        </a:p>
      </cdr:txBody>
    </cdr:sp>
  </cdr:relSizeAnchor>
  <cdr:relSizeAnchor xmlns:cdr="http://schemas.openxmlformats.org/drawingml/2006/chartDrawing">
    <cdr:from>
      <cdr:x>0.85248</cdr:x>
      <cdr:y>0.60065</cdr:y>
    </cdr:from>
    <cdr:to>
      <cdr:x>0.93351</cdr:x>
      <cdr:y>0.62729</cdr:y>
    </cdr:to>
    <cdr:sp macro="" textlink="">
      <cdr:nvSpPr>
        <cdr:cNvPr id="30727" name="Text Box 1"/>
        <cdr:cNvSpPr txBox="1">
          <a:spLocks xmlns:a="http://schemas.openxmlformats.org/drawingml/2006/main" noChangeArrowheads="1"/>
        </cdr:cNvSpPr>
      </cdr:nvSpPr>
      <cdr:spPr bwMode="auto">
        <a:xfrm xmlns:a="http://schemas.openxmlformats.org/drawingml/2006/main">
          <a:off x="3892614" y="4311199"/>
          <a:ext cx="369662" cy="19108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Lr-50</a:t>
          </a:r>
        </a:p>
        <a:p xmlns:a="http://schemas.openxmlformats.org/drawingml/2006/main">
          <a:pPr algn="ctr" rtl="0">
            <a:defRPr sz="1000"/>
          </a:pPr>
          <a:endParaRPr lang="ja-JP" altLang="en-US"/>
        </a:p>
      </cdr:txBody>
    </cdr:sp>
  </cdr:relSizeAnchor>
  <cdr:relSizeAnchor xmlns:cdr="http://schemas.openxmlformats.org/drawingml/2006/chartDrawing">
    <cdr:from>
      <cdr:x>0.85248</cdr:x>
      <cdr:y>0.64381</cdr:y>
    </cdr:from>
    <cdr:to>
      <cdr:x>0.93351</cdr:x>
      <cdr:y>0.6707</cdr:y>
    </cdr:to>
    <cdr:sp macro="" textlink="">
      <cdr:nvSpPr>
        <cdr:cNvPr id="30728" name="Text Box 1"/>
        <cdr:cNvSpPr txBox="1">
          <a:spLocks xmlns:a="http://schemas.openxmlformats.org/drawingml/2006/main" noChangeArrowheads="1"/>
        </cdr:cNvSpPr>
      </cdr:nvSpPr>
      <cdr:spPr bwMode="auto">
        <a:xfrm xmlns:a="http://schemas.openxmlformats.org/drawingml/2006/main">
          <a:off x="3892614" y="4620821"/>
          <a:ext cx="369662" cy="19285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Lr-45</a:t>
          </a:r>
        </a:p>
        <a:p xmlns:a="http://schemas.openxmlformats.org/drawingml/2006/main">
          <a:pPr algn="ctr" rtl="0">
            <a:defRPr sz="1000"/>
          </a:pPr>
          <a:endParaRPr lang="ja-JP" altLang="en-US"/>
        </a:p>
      </cdr:txBody>
    </cdr:sp>
  </cdr:relSizeAnchor>
  <cdr:relSizeAnchor xmlns:cdr="http://schemas.openxmlformats.org/drawingml/2006/chartDrawing">
    <cdr:from>
      <cdr:x>0.85248</cdr:x>
      <cdr:y>0.68698</cdr:y>
    </cdr:from>
    <cdr:to>
      <cdr:x>0.93351</cdr:x>
      <cdr:y>0.71387</cdr:y>
    </cdr:to>
    <cdr:sp macro="" textlink="">
      <cdr:nvSpPr>
        <cdr:cNvPr id="30729" name="Text Box 1"/>
        <cdr:cNvSpPr txBox="1">
          <a:spLocks xmlns:a="http://schemas.openxmlformats.org/drawingml/2006/main" noChangeArrowheads="1"/>
        </cdr:cNvSpPr>
      </cdr:nvSpPr>
      <cdr:spPr bwMode="auto">
        <a:xfrm xmlns:a="http://schemas.openxmlformats.org/drawingml/2006/main">
          <a:off x="3892614" y="4930443"/>
          <a:ext cx="369662" cy="19285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Lr-40</a:t>
          </a:r>
        </a:p>
        <a:p xmlns:a="http://schemas.openxmlformats.org/drawingml/2006/main">
          <a:pPr algn="ctr" rtl="0">
            <a:defRPr sz="1000"/>
          </a:pPr>
          <a:endParaRPr lang="ja-JP" altLang="en-US"/>
        </a:p>
      </cdr:txBody>
    </cdr:sp>
  </cdr:relSizeAnchor>
  <cdr:relSizeAnchor xmlns:cdr="http://schemas.openxmlformats.org/drawingml/2006/chartDrawing">
    <cdr:from>
      <cdr:x>0.85248</cdr:x>
      <cdr:y>0.73015</cdr:y>
    </cdr:from>
    <cdr:to>
      <cdr:x>0.93351</cdr:x>
      <cdr:y>0.75704</cdr:y>
    </cdr:to>
    <cdr:sp macro="" textlink="">
      <cdr:nvSpPr>
        <cdr:cNvPr id="30730" name="Text Box 1"/>
        <cdr:cNvSpPr txBox="1">
          <a:spLocks xmlns:a="http://schemas.openxmlformats.org/drawingml/2006/main" noChangeArrowheads="1"/>
        </cdr:cNvSpPr>
      </cdr:nvSpPr>
      <cdr:spPr bwMode="auto">
        <a:xfrm xmlns:a="http://schemas.openxmlformats.org/drawingml/2006/main">
          <a:off x="3892614" y="5240065"/>
          <a:ext cx="369662" cy="19285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Lr-35</a:t>
          </a:r>
        </a:p>
        <a:p xmlns:a="http://schemas.openxmlformats.org/drawingml/2006/main">
          <a:pPr algn="ctr" rtl="0">
            <a:defRPr sz="1000"/>
          </a:pPr>
          <a:endParaRPr lang="ja-JP" altLang="en-US"/>
        </a:p>
      </cdr:txBody>
    </cdr:sp>
  </cdr:relSizeAnchor>
  <cdr:relSizeAnchor xmlns:cdr="http://schemas.openxmlformats.org/drawingml/2006/chartDrawing">
    <cdr:from>
      <cdr:x>0.85248</cdr:x>
      <cdr:y>0.77357</cdr:y>
    </cdr:from>
    <cdr:to>
      <cdr:x>0.93351</cdr:x>
      <cdr:y>0.80021</cdr:y>
    </cdr:to>
    <cdr:sp macro="" textlink="">
      <cdr:nvSpPr>
        <cdr:cNvPr id="30731" name="Text Box 1"/>
        <cdr:cNvSpPr txBox="1">
          <a:spLocks xmlns:a="http://schemas.openxmlformats.org/drawingml/2006/main" noChangeArrowheads="1"/>
        </cdr:cNvSpPr>
      </cdr:nvSpPr>
      <cdr:spPr bwMode="auto">
        <a:xfrm xmlns:a="http://schemas.openxmlformats.org/drawingml/2006/main">
          <a:off x="3892614" y="5551457"/>
          <a:ext cx="369662" cy="19108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Lr-30</a:t>
          </a:r>
        </a:p>
        <a:p xmlns:a="http://schemas.openxmlformats.org/drawingml/2006/main">
          <a:pPr algn="ctr" rtl="0">
            <a:defRPr sz="1000"/>
          </a:pPr>
          <a:endParaRPr lang="ja-JP" altLang="en-US"/>
        </a:p>
      </cdr:txBody>
    </cdr:sp>
  </cdr:relSizeAnchor>
  <cdr:relSizeAnchor xmlns:cdr="http://schemas.openxmlformats.org/drawingml/2006/chartDrawing">
    <cdr:from>
      <cdr:x>0.85248</cdr:x>
      <cdr:y>0.38357</cdr:y>
    </cdr:from>
    <cdr:to>
      <cdr:x>0.93351</cdr:x>
      <cdr:y>0.41046</cdr:y>
    </cdr:to>
    <cdr:sp macro="" textlink="">
      <cdr:nvSpPr>
        <cdr:cNvPr id="30732" name="Text Box 1"/>
        <cdr:cNvSpPr txBox="1">
          <a:spLocks xmlns:a="http://schemas.openxmlformats.org/drawingml/2006/main" noChangeArrowheads="1"/>
        </cdr:cNvSpPr>
      </cdr:nvSpPr>
      <cdr:spPr bwMode="auto">
        <a:xfrm xmlns:a="http://schemas.openxmlformats.org/drawingml/2006/main">
          <a:off x="3892614" y="2754243"/>
          <a:ext cx="369662" cy="19285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Lr-75</a:t>
          </a:r>
        </a:p>
        <a:p xmlns:a="http://schemas.openxmlformats.org/drawingml/2006/main">
          <a:pPr algn="ctr" rtl="0">
            <a:defRPr sz="1000"/>
          </a:pPr>
          <a:endParaRPr lang="ja-JP" altLang="en-US"/>
        </a:p>
      </cdr:txBody>
    </cdr:sp>
  </cdr:relSizeAnchor>
  <cdr:relSizeAnchor xmlns:cdr="http://schemas.openxmlformats.org/drawingml/2006/chartDrawing">
    <cdr:from>
      <cdr:x>0.85248</cdr:x>
      <cdr:y>0.42674</cdr:y>
    </cdr:from>
    <cdr:to>
      <cdr:x>0.93351</cdr:x>
      <cdr:y>0.45436</cdr:y>
    </cdr:to>
    <cdr:sp macro="" textlink="">
      <cdr:nvSpPr>
        <cdr:cNvPr id="30733" name="Text Box 1"/>
        <cdr:cNvSpPr txBox="1">
          <a:spLocks xmlns:a="http://schemas.openxmlformats.org/drawingml/2006/main" noChangeArrowheads="1"/>
        </cdr:cNvSpPr>
      </cdr:nvSpPr>
      <cdr:spPr bwMode="auto">
        <a:xfrm xmlns:a="http://schemas.openxmlformats.org/drawingml/2006/main">
          <a:off x="3892614" y="3063865"/>
          <a:ext cx="369662" cy="19815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Lr-70</a:t>
          </a:r>
        </a:p>
        <a:p xmlns:a="http://schemas.openxmlformats.org/drawingml/2006/main">
          <a:pPr algn="ctr" rtl="0">
            <a:defRPr sz="1000"/>
          </a:pPr>
          <a:endParaRPr lang="ja-JP" altLang="en-US"/>
        </a:p>
      </cdr:txBody>
    </cdr:sp>
  </cdr:relSizeAnchor>
</c:userShapes>
</file>

<file path=xl/drawings/drawing4.xml><?xml version="1.0" encoding="utf-8"?>
<xdr:wsDr xmlns:xdr="http://schemas.openxmlformats.org/drawingml/2006/spreadsheetDrawing" xmlns:a="http://schemas.openxmlformats.org/drawingml/2006/main">
  <xdr:twoCellAnchor>
    <xdr:from>
      <xdr:col>25</xdr:col>
      <xdr:colOff>295275</xdr:colOff>
      <xdr:row>3</xdr:row>
      <xdr:rowOff>85725</xdr:rowOff>
    </xdr:from>
    <xdr:to>
      <xdr:col>37</xdr:col>
      <xdr:colOff>161925</xdr:colOff>
      <xdr:row>34</xdr:row>
      <xdr:rowOff>66675</xdr:rowOff>
    </xdr:to>
    <xdr:graphicFrame macro="">
      <xdr:nvGraphicFramePr>
        <xdr:cNvPr id="617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0.85493</cdr:x>
      <cdr:y>0.33423</cdr:y>
    </cdr:from>
    <cdr:to>
      <cdr:x>0.93595</cdr:x>
      <cdr:y>0.36211</cdr:y>
    </cdr:to>
    <cdr:sp macro="" textlink="">
      <cdr:nvSpPr>
        <cdr:cNvPr id="31746" name="Text Box 1"/>
        <cdr:cNvSpPr txBox="1">
          <a:spLocks xmlns:a="http://schemas.openxmlformats.org/drawingml/2006/main" noChangeArrowheads="1"/>
        </cdr:cNvSpPr>
      </cdr:nvSpPr>
      <cdr:spPr bwMode="auto">
        <a:xfrm xmlns:a="http://schemas.openxmlformats.org/drawingml/2006/main">
          <a:off x="3903782" y="2400389"/>
          <a:ext cx="369662" cy="19992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Lr-80</a:t>
          </a:r>
        </a:p>
        <a:p xmlns:a="http://schemas.openxmlformats.org/drawingml/2006/main">
          <a:pPr algn="ctr" rtl="0">
            <a:defRPr sz="1000"/>
          </a:pPr>
          <a:endParaRPr lang="ja-JP" altLang="en-US"/>
        </a:p>
      </cdr:txBody>
    </cdr:sp>
  </cdr:relSizeAnchor>
  <cdr:relSizeAnchor xmlns:cdr="http://schemas.openxmlformats.org/drawingml/2006/chartDrawing">
    <cdr:from>
      <cdr:x>0.85493</cdr:x>
      <cdr:y>0.46596</cdr:y>
    </cdr:from>
    <cdr:to>
      <cdr:x>0.93595</cdr:x>
      <cdr:y>0.49285</cdr:y>
    </cdr:to>
    <cdr:sp macro="" textlink="">
      <cdr:nvSpPr>
        <cdr:cNvPr id="31747" name="Text Box 1"/>
        <cdr:cNvSpPr txBox="1">
          <a:spLocks xmlns:a="http://schemas.openxmlformats.org/drawingml/2006/main" noChangeArrowheads="1"/>
        </cdr:cNvSpPr>
      </cdr:nvSpPr>
      <cdr:spPr bwMode="auto">
        <a:xfrm xmlns:a="http://schemas.openxmlformats.org/drawingml/2006/main">
          <a:off x="3903782" y="3345178"/>
          <a:ext cx="369662" cy="19285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Lr-65</a:t>
          </a:r>
        </a:p>
        <a:p xmlns:a="http://schemas.openxmlformats.org/drawingml/2006/main">
          <a:pPr algn="ctr" rtl="0">
            <a:defRPr sz="1000"/>
          </a:pPr>
          <a:endParaRPr lang="ja-JP" altLang="en-US"/>
        </a:p>
      </cdr:txBody>
    </cdr:sp>
  </cdr:relSizeAnchor>
  <cdr:relSizeAnchor xmlns:cdr="http://schemas.openxmlformats.org/drawingml/2006/chartDrawing">
    <cdr:from>
      <cdr:x>0.85493</cdr:x>
      <cdr:y>0.50839</cdr:y>
    </cdr:from>
    <cdr:to>
      <cdr:x>0.93595</cdr:x>
      <cdr:y>0.53602</cdr:y>
    </cdr:to>
    <cdr:sp macro="" textlink="">
      <cdr:nvSpPr>
        <cdr:cNvPr id="31748" name="Text Box 1"/>
        <cdr:cNvSpPr txBox="1">
          <a:spLocks xmlns:a="http://schemas.openxmlformats.org/drawingml/2006/main" noChangeArrowheads="1"/>
        </cdr:cNvSpPr>
      </cdr:nvSpPr>
      <cdr:spPr bwMode="auto">
        <a:xfrm xmlns:a="http://schemas.openxmlformats.org/drawingml/2006/main">
          <a:off x="3903782" y="3649493"/>
          <a:ext cx="369662" cy="19815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Lr-60</a:t>
          </a:r>
        </a:p>
        <a:p xmlns:a="http://schemas.openxmlformats.org/drawingml/2006/main">
          <a:pPr algn="ctr" rtl="0">
            <a:defRPr sz="1000"/>
          </a:pPr>
          <a:endParaRPr lang="ja-JP" altLang="en-US"/>
        </a:p>
      </cdr:txBody>
    </cdr:sp>
  </cdr:relSizeAnchor>
  <cdr:relSizeAnchor xmlns:cdr="http://schemas.openxmlformats.org/drawingml/2006/chartDrawing">
    <cdr:from>
      <cdr:x>0.85493</cdr:x>
      <cdr:y>0.55328</cdr:y>
    </cdr:from>
    <cdr:to>
      <cdr:x>0.93595</cdr:x>
      <cdr:y>0.57943</cdr:y>
    </cdr:to>
    <cdr:sp macro="" textlink="">
      <cdr:nvSpPr>
        <cdr:cNvPr id="31749" name="Text Box 1"/>
        <cdr:cNvSpPr txBox="1">
          <a:spLocks xmlns:a="http://schemas.openxmlformats.org/drawingml/2006/main" noChangeArrowheads="1"/>
        </cdr:cNvSpPr>
      </cdr:nvSpPr>
      <cdr:spPr bwMode="auto">
        <a:xfrm xmlns:a="http://schemas.openxmlformats.org/drawingml/2006/main">
          <a:off x="3903782" y="3971500"/>
          <a:ext cx="369662" cy="18754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Lr-55</a:t>
          </a:r>
        </a:p>
        <a:p xmlns:a="http://schemas.openxmlformats.org/drawingml/2006/main">
          <a:pPr algn="ctr" rtl="0">
            <a:defRPr sz="1000"/>
          </a:pPr>
          <a:endParaRPr lang="ja-JP" altLang="en-US"/>
        </a:p>
      </cdr:txBody>
    </cdr:sp>
  </cdr:relSizeAnchor>
  <cdr:relSizeAnchor xmlns:cdr="http://schemas.openxmlformats.org/drawingml/2006/chartDrawing">
    <cdr:from>
      <cdr:x>0.85493</cdr:x>
      <cdr:y>0.5967</cdr:y>
    </cdr:from>
    <cdr:to>
      <cdr:x>0.93595</cdr:x>
      <cdr:y>0.62359</cdr:y>
    </cdr:to>
    <cdr:sp macro="" textlink="">
      <cdr:nvSpPr>
        <cdr:cNvPr id="31750" name="Text Box 1"/>
        <cdr:cNvSpPr txBox="1">
          <a:spLocks xmlns:a="http://schemas.openxmlformats.org/drawingml/2006/main" noChangeArrowheads="1"/>
        </cdr:cNvSpPr>
      </cdr:nvSpPr>
      <cdr:spPr bwMode="auto">
        <a:xfrm xmlns:a="http://schemas.openxmlformats.org/drawingml/2006/main">
          <a:off x="3903782" y="4282891"/>
          <a:ext cx="369662" cy="19285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Lr-50</a:t>
          </a:r>
        </a:p>
        <a:p xmlns:a="http://schemas.openxmlformats.org/drawingml/2006/main">
          <a:pPr algn="ctr" rtl="0">
            <a:defRPr sz="1000"/>
          </a:pPr>
          <a:endParaRPr lang="ja-JP" altLang="en-US"/>
        </a:p>
      </cdr:txBody>
    </cdr:sp>
  </cdr:relSizeAnchor>
  <cdr:relSizeAnchor xmlns:cdr="http://schemas.openxmlformats.org/drawingml/2006/chartDrawing">
    <cdr:from>
      <cdr:x>0.85493</cdr:x>
      <cdr:y>0.64085</cdr:y>
    </cdr:from>
    <cdr:to>
      <cdr:x>0.93595</cdr:x>
      <cdr:y>0.66602</cdr:y>
    </cdr:to>
    <cdr:sp macro="" textlink="">
      <cdr:nvSpPr>
        <cdr:cNvPr id="31751" name="Text Box 1"/>
        <cdr:cNvSpPr txBox="1">
          <a:spLocks xmlns:a="http://schemas.openxmlformats.org/drawingml/2006/main" noChangeArrowheads="1"/>
        </cdr:cNvSpPr>
      </cdr:nvSpPr>
      <cdr:spPr bwMode="auto">
        <a:xfrm xmlns:a="http://schemas.openxmlformats.org/drawingml/2006/main">
          <a:off x="3903782" y="4599590"/>
          <a:ext cx="369662" cy="18046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Lr-45</a:t>
          </a:r>
        </a:p>
        <a:p xmlns:a="http://schemas.openxmlformats.org/drawingml/2006/main">
          <a:pPr algn="ctr" rtl="0">
            <a:defRPr sz="1000"/>
          </a:pPr>
          <a:endParaRPr lang="ja-JP" altLang="en-US"/>
        </a:p>
      </cdr:txBody>
    </cdr:sp>
  </cdr:relSizeAnchor>
  <cdr:relSizeAnchor xmlns:cdr="http://schemas.openxmlformats.org/drawingml/2006/chartDrawing">
    <cdr:from>
      <cdr:x>0.85493</cdr:x>
      <cdr:y>0.6823</cdr:y>
    </cdr:from>
    <cdr:to>
      <cdr:x>0.93595</cdr:x>
      <cdr:y>0.70918</cdr:y>
    </cdr:to>
    <cdr:sp macro="" textlink="">
      <cdr:nvSpPr>
        <cdr:cNvPr id="31752" name="Text Box 1"/>
        <cdr:cNvSpPr txBox="1">
          <a:spLocks xmlns:a="http://schemas.openxmlformats.org/drawingml/2006/main" noChangeArrowheads="1"/>
        </cdr:cNvSpPr>
      </cdr:nvSpPr>
      <cdr:spPr bwMode="auto">
        <a:xfrm xmlns:a="http://schemas.openxmlformats.org/drawingml/2006/main">
          <a:off x="3903782" y="4896827"/>
          <a:ext cx="369662" cy="19285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Lr-40</a:t>
          </a:r>
        </a:p>
        <a:p xmlns:a="http://schemas.openxmlformats.org/drawingml/2006/main">
          <a:pPr algn="ctr" rtl="0">
            <a:defRPr sz="1000"/>
          </a:pPr>
          <a:endParaRPr lang="ja-JP" altLang="en-US"/>
        </a:p>
      </cdr:txBody>
    </cdr:sp>
  </cdr:relSizeAnchor>
  <cdr:relSizeAnchor xmlns:cdr="http://schemas.openxmlformats.org/drawingml/2006/chartDrawing">
    <cdr:from>
      <cdr:x>0.85493</cdr:x>
      <cdr:y>0.72571</cdr:y>
    </cdr:from>
    <cdr:to>
      <cdr:x>0.93595</cdr:x>
      <cdr:y>0.75161</cdr:y>
    </cdr:to>
    <cdr:sp macro="" textlink="">
      <cdr:nvSpPr>
        <cdr:cNvPr id="31753" name="Text Box 1"/>
        <cdr:cNvSpPr txBox="1">
          <a:spLocks xmlns:a="http://schemas.openxmlformats.org/drawingml/2006/main" noChangeArrowheads="1"/>
        </cdr:cNvSpPr>
      </cdr:nvSpPr>
      <cdr:spPr bwMode="auto">
        <a:xfrm xmlns:a="http://schemas.openxmlformats.org/drawingml/2006/main">
          <a:off x="3903782" y="5208218"/>
          <a:ext cx="369662" cy="18577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Lr-35</a:t>
          </a:r>
        </a:p>
        <a:p xmlns:a="http://schemas.openxmlformats.org/drawingml/2006/main">
          <a:pPr algn="ctr" rtl="0">
            <a:defRPr sz="1000"/>
          </a:pPr>
          <a:endParaRPr lang="ja-JP" altLang="en-US"/>
        </a:p>
      </cdr:txBody>
    </cdr:sp>
  </cdr:relSizeAnchor>
  <cdr:relSizeAnchor xmlns:cdr="http://schemas.openxmlformats.org/drawingml/2006/chartDrawing">
    <cdr:from>
      <cdr:x>0.85493</cdr:x>
      <cdr:y>0.76814</cdr:y>
    </cdr:from>
    <cdr:to>
      <cdr:x>0.93595</cdr:x>
      <cdr:y>0.79577</cdr:y>
    </cdr:to>
    <cdr:sp macro="" textlink="">
      <cdr:nvSpPr>
        <cdr:cNvPr id="31754" name="Text Box 1"/>
        <cdr:cNvSpPr txBox="1">
          <a:spLocks xmlns:a="http://schemas.openxmlformats.org/drawingml/2006/main" noChangeArrowheads="1"/>
        </cdr:cNvSpPr>
      </cdr:nvSpPr>
      <cdr:spPr bwMode="auto">
        <a:xfrm xmlns:a="http://schemas.openxmlformats.org/drawingml/2006/main">
          <a:off x="3903782" y="5512533"/>
          <a:ext cx="369662" cy="19815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Lr-30</a:t>
          </a:r>
        </a:p>
        <a:p xmlns:a="http://schemas.openxmlformats.org/drawingml/2006/main">
          <a:pPr algn="ctr" rtl="0">
            <a:defRPr sz="1000"/>
          </a:pPr>
          <a:endParaRPr lang="ja-JP" altLang="en-US"/>
        </a:p>
      </cdr:txBody>
    </cdr:sp>
  </cdr:relSizeAnchor>
  <cdr:relSizeAnchor xmlns:cdr="http://schemas.openxmlformats.org/drawingml/2006/chartDrawing">
    <cdr:from>
      <cdr:x>0.85493</cdr:x>
      <cdr:y>0.37765</cdr:y>
    </cdr:from>
    <cdr:to>
      <cdr:x>0.93595</cdr:x>
      <cdr:y>0.40527</cdr:y>
    </cdr:to>
    <cdr:sp macro="" textlink="">
      <cdr:nvSpPr>
        <cdr:cNvPr id="31755" name="Text Box 1"/>
        <cdr:cNvSpPr txBox="1">
          <a:spLocks xmlns:a="http://schemas.openxmlformats.org/drawingml/2006/main" noChangeArrowheads="1"/>
        </cdr:cNvSpPr>
      </cdr:nvSpPr>
      <cdr:spPr bwMode="auto">
        <a:xfrm xmlns:a="http://schemas.openxmlformats.org/drawingml/2006/main">
          <a:off x="3903782" y="2711780"/>
          <a:ext cx="369662" cy="19815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Lr-75</a:t>
          </a:r>
        </a:p>
        <a:p xmlns:a="http://schemas.openxmlformats.org/drawingml/2006/main">
          <a:pPr algn="ctr" rtl="0">
            <a:defRPr sz="1000"/>
          </a:pPr>
          <a:endParaRPr lang="ja-JP" altLang="en-US"/>
        </a:p>
      </cdr:txBody>
    </cdr:sp>
  </cdr:relSizeAnchor>
  <cdr:relSizeAnchor xmlns:cdr="http://schemas.openxmlformats.org/drawingml/2006/chartDrawing">
    <cdr:from>
      <cdr:x>0.85493</cdr:x>
      <cdr:y>0.42254</cdr:y>
    </cdr:from>
    <cdr:to>
      <cdr:x>0.93595</cdr:x>
      <cdr:y>0.45042</cdr:y>
    </cdr:to>
    <cdr:sp macro="" textlink="">
      <cdr:nvSpPr>
        <cdr:cNvPr id="31756" name="Text Box 1"/>
        <cdr:cNvSpPr txBox="1">
          <a:spLocks xmlns:a="http://schemas.openxmlformats.org/drawingml/2006/main" noChangeArrowheads="1"/>
        </cdr:cNvSpPr>
      </cdr:nvSpPr>
      <cdr:spPr bwMode="auto">
        <a:xfrm xmlns:a="http://schemas.openxmlformats.org/drawingml/2006/main">
          <a:off x="3903782" y="3033787"/>
          <a:ext cx="369662" cy="19992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Lr-70</a:t>
          </a:r>
        </a:p>
        <a:p xmlns:a="http://schemas.openxmlformats.org/drawingml/2006/main">
          <a:pPr algn="ctr" rtl="0">
            <a:defRPr sz="1000"/>
          </a:pPr>
          <a:endParaRPr lang="ja-JP" altLang="en-US"/>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314331</xdr:colOff>
      <xdr:row>1</xdr:row>
      <xdr:rowOff>97015</xdr:rowOff>
    </xdr:from>
    <xdr:to>
      <xdr:col>4</xdr:col>
      <xdr:colOff>361315</xdr:colOff>
      <xdr:row>3</xdr:row>
      <xdr:rowOff>100510</xdr:rowOff>
    </xdr:to>
    <xdr:grpSp>
      <xdr:nvGrpSpPr>
        <xdr:cNvPr id="414" name="グループ化 413">
          <a:extLst>
            <a:ext uri="{FF2B5EF4-FFF2-40B4-BE49-F238E27FC236}">
              <a16:creationId xmlns:a16="http://schemas.microsoft.com/office/drawing/2014/main" xmlns="" id="{20FC47D4-C844-4A27-B049-E95391A0A80F}"/>
            </a:ext>
          </a:extLst>
        </xdr:cNvPr>
        <xdr:cNvGrpSpPr/>
      </xdr:nvGrpSpPr>
      <xdr:grpSpPr>
        <a:xfrm>
          <a:off x="314331" y="344665"/>
          <a:ext cx="2713984" cy="498795"/>
          <a:chOff x="1684310" y="575292"/>
          <a:chExt cx="2786941" cy="481771"/>
        </a:xfrm>
      </xdr:grpSpPr>
      <xdr:sp macro="" textlink="">
        <xdr:nvSpPr>
          <xdr:cNvPr id="415" name="Rectangle 369">
            <a:extLst>
              <a:ext uri="{FF2B5EF4-FFF2-40B4-BE49-F238E27FC236}">
                <a16:creationId xmlns:a16="http://schemas.microsoft.com/office/drawing/2014/main" xmlns="" id="{B97E7F5D-5069-43FC-B966-912309A8D8E4}"/>
              </a:ext>
            </a:extLst>
          </xdr:cNvPr>
          <xdr:cNvSpPr>
            <a:spLocks noChangeArrowheads="1"/>
          </xdr:cNvSpPr>
        </xdr:nvSpPr>
        <xdr:spPr bwMode="auto">
          <a:xfrm>
            <a:off x="1684313" y="576561"/>
            <a:ext cx="2786938" cy="478596"/>
          </a:xfrm>
          <a:prstGeom prst="rect">
            <a:avLst/>
          </a:prstGeom>
          <a:solidFill>
            <a:srgbClr val="96969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6" name="Freeform 368">
            <a:extLst>
              <a:ext uri="{FF2B5EF4-FFF2-40B4-BE49-F238E27FC236}">
                <a16:creationId xmlns:a16="http://schemas.microsoft.com/office/drawing/2014/main" xmlns="" id="{52EF2641-A092-45A4-84FA-E62325451B8F}"/>
              </a:ext>
            </a:extLst>
          </xdr:cNvPr>
          <xdr:cNvSpPr>
            <a:spLocks/>
          </xdr:cNvSpPr>
        </xdr:nvSpPr>
        <xdr:spPr bwMode="auto">
          <a:xfrm>
            <a:off x="1684310" y="575292"/>
            <a:ext cx="2784395" cy="637"/>
          </a:xfrm>
          <a:custGeom>
            <a:avLst/>
            <a:gdLst>
              <a:gd name="T0" fmla="*/ 0 w 4386"/>
              <a:gd name="T1" fmla="*/ 4386 w 4386"/>
              <a:gd name="T2" fmla="*/ 4386 w 4386"/>
            </a:gdLst>
            <a:ahLst/>
            <a:cxnLst>
              <a:cxn ang="0">
                <a:pos x="T0" y="0"/>
              </a:cxn>
              <a:cxn ang="0">
                <a:pos x="T1" y="0"/>
              </a:cxn>
              <a:cxn ang="0">
                <a:pos x="T2" y="0"/>
              </a:cxn>
            </a:cxnLst>
            <a:rect l="0" t="0" r="r" b="b"/>
            <a:pathLst>
              <a:path w="4386">
                <a:moveTo>
                  <a:pt x="0" y="0"/>
                </a:moveTo>
                <a:lnTo>
                  <a:pt x="438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7" name="Freeform 367">
            <a:extLst>
              <a:ext uri="{FF2B5EF4-FFF2-40B4-BE49-F238E27FC236}">
                <a16:creationId xmlns:a16="http://schemas.microsoft.com/office/drawing/2014/main" xmlns="" id="{9D0F589F-64AB-4EF0-BA22-9121C51A4419}"/>
              </a:ext>
            </a:extLst>
          </xdr:cNvPr>
          <xdr:cNvSpPr>
            <a:spLocks/>
          </xdr:cNvSpPr>
        </xdr:nvSpPr>
        <xdr:spPr bwMode="auto">
          <a:xfrm>
            <a:off x="1684310" y="575292"/>
            <a:ext cx="185372" cy="185444"/>
          </a:xfrm>
          <a:custGeom>
            <a:avLst/>
            <a:gdLst>
              <a:gd name="T0" fmla="*/ 0 w 292"/>
              <a:gd name="T1" fmla="*/ 291 h 291"/>
              <a:gd name="T2" fmla="*/ 292 w 292"/>
              <a:gd name="T3" fmla="*/ 0 h 291"/>
              <a:gd name="T4" fmla="*/ 292 w 292"/>
              <a:gd name="T5" fmla="*/ 0 h 291"/>
            </a:gdLst>
            <a:ahLst/>
            <a:cxnLst>
              <a:cxn ang="0">
                <a:pos x="T0" y="T1"/>
              </a:cxn>
              <a:cxn ang="0">
                <a:pos x="T2" y="T3"/>
              </a:cxn>
              <a:cxn ang="0">
                <a:pos x="T4" y="T5"/>
              </a:cxn>
            </a:cxnLst>
            <a:rect l="0" t="0" r="r" b="b"/>
            <a:pathLst>
              <a:path w="292" h="291">
                <a:moveTo>
                  <a:pt x="0" y="291"/>
                </a:moveTo>
                <a:lnTo>
                  <a:pt x="292"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8" name="Freeform 366">
            <a:extLst>
              <a:ext uri="{FF2B5EF4-FFF2-40B4-BE49-F238E27FC236}">
                <a16:creationId xmlns:a16="http://schemas.microsoft.com/office/drawing/2014/main" xmlns="" id="{0BD1B22A-E633-4178-876D-C2C570C80136}"/>
              </a:ext>
            </a:extLst>
          </xdr:cNvPr>
          <xdr:cNvSpPr>
            <a:spLocks/>
          </xdr:cNvSpPr>
        </xdr:nvSpPr>
        <xdr:spPr bwMode="auto">
          <a:xfrm>
            <a:off x="1684310" y="575292"/>
            <a:ext cx="202513" cy="202013"/>
          </a:xfrm>
          <a:custGeom>
            <a:avLst/>
            <a:gdLst>
              <a:gd name="T0" fmla="*/ 319 w 319"/>
              <a:gd name="T1" fmla="*/ 0 h 317"/>
              <a:gd name="T2" fmla="*/ 0 w 319"/>
              <a:gd name="T3" fmla="*/ 317 h 317"/>
              <a:gd name="T4" fmla="*/ 0 w 319"/>
              <a:gd name="T5" fmla="*/ 317 h 317"/>
            </a:gdLst>
            <a:ahLst/>
            <a:cxnLst>
              <a:cxn ang="0">
                <a:pos x="T0" y="T1"/>
              </a:cxn>
              <a:cxn ang="0">
                <a:pos x="T2" y="T3"/>
              </a:cxn>
              <a:cxn ang="0">
                <a:pos x="T4" y="T5"/>
              </a:cxn>
            </a:cxnLst>
            <a:rect l="0" t="0" r="r" b="b"/>
            <a:pathLst>
              <a:path w="319" h="317">
                <a:moveTo>
                  <a:pt x="319" y="0"/>
                </a:moveTo>
                <a:lnTo>
                  <a:pt x="0" y="317"/>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9" name="Freeform 365">
            <a:extLst>
              <a:ext uri="{FF2B5EF4-FFF2-40B4-BE49-F238E27FC236}">
                <a16:creationId xmlns:a16="http://schemas.microsoft.com/office/drawing/2014/main" xmlns="" id="{0A2037F3-A42F-4CDA-995A-6CC67EE136D4}"/>
              </a:ext>
            </a:extLst>
          </xdr:cNvPr>
          <xdr:cNvSpPr>
            <a:spLocks/>
          </xdr:cNvSpPr>
        </xdr:nvSpPr>
        <xdr:spPr bwMode="auto">
          <a:xfrm>
            <a:off x="1684310" y="575292"/>
            <a:ext cx="219654" cy="219219"/>
          </a:xfrm>
          <a:custGeom>
            <a:avLst/>
            <a:gdLst>
              <a:gd name="T0" fmla="*/ 0 w 346"/>
              <a:gd name="T1" fmla="*/ 344 h 344"/>
              <a:gd name="T2" fmla="*/ 346 w 346"/>
              <a:gd name="T3" fmla="*/ 0 h 344"/>
              <a:gd name="T4" fmla="*/ 346 w 346"/>
              <a:gd name="T5" fmla="*/ 0 h 344"/>
            </a:gdLst>
            <a:ahLst/>
            <a:cxnLst>
              <a:cxn ang="0">
                <a:pos x="T0" y="T1"/>
              </a:cxn>
              <a:cxn ang="0">
                <a:pos x="T2" y="T3"/>
              </a:cxn>
              <a:cxn ang="0">
                <a:pos x="T4" y="T5"/>
              </a:cxn>
            </a:cxnLst>
            <a:rect l="0" t="0" r="r" b="b"/>
            <a:pathLst>
              <a:path w="346" h="344">
                <a:moveTo>
                  <a:pt x="0" y="344"/>
                </a:moveTo>
                <a:lnTo>
                  <a:pt x="34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0" name="Freeform 364">
            <a:extLst>
              <a:ext uri="{FF2B5EF4-FFF2-40B4-BE49-F238E27FC236}">
                <a16:creationId xmlns:a16="http://schemas.microsoft.com/office/drawing/2014/main" xmlns="" id="{833168FB-0FB3-4AD3-8F55-B66B3CEA9F05}"/>
              </a:ext>
            </a:extLst>
          </xdr:cNvPr>
          <xdr:cNvSpPr>
            <a:spLocks/>
          </xdr:cNvSpPr>
        </xdr:nvSpPr>
        <xdr:spPr bwMode="auto">
          <a:xfrm>
            <a:off x="3731659" y="575292"/>
            <a:ext cx="479937" cy="481134"/>
          </a:xfrm>
          <a:custGeom>
            <a:avLst/>
            <a:gdLst>
              <a:gd name="T0" fmla="*/ 0 w 756"/>
              <a:gd name="T1" fmla="*/ 755 h 755"/>
              <a:gd name="T2" fmla="*/ 756 w 756"/>
              <a:gd name="T3" fmla="*/ 0 h 755"/>
              <a:gd name="T4" fmla="*/ 756 w 756"/>
              <a:gd name="T5" fmla="*/ 0 h 755"/>
            </a:gdLst>
            <a:ahLst/>
            <a:cxnLst>
              <a:cxn ang="0">
                <a:pos x="T0" y="T1"/>
              </a:cxn>
              <a:cxn ang="0">
                <a:pos x="T2" y="T3"/>
              </a:cxn>
              <a:cxn ang="0">
                <a:pos x="T4" y="T5"/>
              </a:cxn>
            </a:cxnLst>
            <a:rect l="0" t="0" r="r" b="b"/>
            <a:pathLst>
              <a:path w="756" h="755">
                <a:moveTo>
                  <a:pt x="0" y="755"/>
                </a:moveTo>
                <a:lnTo>
                  <a:pt x="75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1" name="Freeform 363">
            <a:extLst>
              <a:ext uri="{FF2B5EF4-FFF2-40B4-BE49-F238E27FC236}">
                <a16:creationId xmlns:a16="http://schemas.microsoft.com/office/drawing/2014/main" xmlns="" id="{AD352DE0-5290-4976-81B1-7779DA2F6A48}"/>
              </a:ext>
            </a:extLst>
          </xdr:cNvPr>
          <xdr:cNvSpPr>
            <a:spLocks/>
          </xdr:cNvSpPr>
        </xdr:nvSpPr>
        <xdr:spPr bwMode="auto">
          <a:xfrm>
            <a:off x="3714519" y="575292"/>
            <a:ext cx="479937" cy="481134"/>
          </a:xfrm>
          <a:custGeom>
            <a:avLst/>
            <a:gdLst>
              <a:gd name="T0" fmla="*/ 0 w 756"/>
              <a:gd name="T1" fmla="*/ 755 h 755"/>
              <a:gd name="T2" fmla="*/ 756 w 756"/>
              <a:gd name="T3" fmla="*/ 0 h 755"/>
              <a:gd name="T4" fmla="*/ 756 w 756"/>
              <a:gd name="T5" fmla="*/ 0 h 755"/>
            </a:gdLst>
            <a:ahLst/>
            <a:cxnLst>
              <a:cxn ang="0">
                <a:pos x="T0" y="T1"/>
              </a:cxn>
              <a:cxn ang="0">
                <a:pos x="T2" y="T3"/>
              </a:cxn>
              <a:cxn ang="0">
                <a:pos x="T4" y="T5"/>
              </a:cxn>
            </a:cxnLst>
            <a:rect l="0" t="0" r="r" b="b"/>
            <a:pathLst>
              <a:path w="756" h="755">
                <a:moveTo>
                  <a:pt x="0" y="755"/>
                </a:moveTo>
                <a:lnTo>
                  <a:pt x="75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2" name="Freeform 362">
            <a:extLst>
              <a:ext uri="{FF2B5EF4-FFF2-40B4-BE49-F238E27FC236}">
                <a16:creationId xmlns:a16="http://schemas.microsoft.com/office/drawing/2014/main" xmlns="" id="{2BFE5BC1-C742-41AF-8BB7-EBA1D25599C7}"/>
              </a:ext>
            </a:extLst>
          </xdr:cNvPr>
          <xdr:cNvSpPr>
            <a:spLocks/>
          </xdr:cNvSpPr>
        </xdr:nvSpPr>
        <xdr:spPr bwMode="auto">
          <a:xfrm>
            <a:off x="3697378" y="575292"/>
            <a:ext cx="479937" cy="481134"/>
          </a:xfrm>
          <a:custGeom>
            <a:avLst/>
            <a:gdLst>
              <a:gd name="T0" fmla="*/ 0 w 756"/>
              <a:gd name="T1" fmla="*/ 755 h 755"/>
              <a:gd name="T2" fmla="*/ 756 w 756"/>
              <a:gd name="T3" fmla="*/ 0 h 755"/>
              <a:gd name="T4" fmla="*/ 756 w 756"/>
              <a:gd name="T5" fmla="*/ 0 h 755"/>
            </a:gdLst>
            <a:ahLst/>
            <a:cxnLst>
              <a:cxn ang="0">
                <a:pos x="T0" y="T1"/>
              </a:cxn>
              <a:cxn ang="0">
                <a:pos x="T2" y="T3"/>
              </a:cxn>
              <a:cxn ang="0">
                <a:pos x="T4" y="T5"/>
              </a:cxn>
            </a:cxnLst>
            <a:rect l="0" t="0" r="r" b="b"/>
            <a:pathLst>
              <a:path w="756" h="755">
                <a:moveTo>
                  <a:pt x="0" y="755"/>
                </a:moveTo>
                <a:lnTo>
                  <a:pt x="75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3" name="Freeform 361">
            <a:extLst>
              <a:ext uri="{FF2B5EF4-FFF2-40B4-BE49-F238E27FC236}">
                <a16:creationId xmlns:a16="http://schemas.microsoft.com/office/drawing/2014/main" xmlns="" id="{63A847BB-C3A2-4F22-B1FA-61E9AFCB7D5F}"/>
              </a:ext>
            </a:extLst>
          </xdr:cNvPr>
          <xdr:cNvSpPr>
            <a:spLocks/>
          </xdr:cNvSpPr>
        </xdr:nvSpPr>
        <xdr:spPr bwMode="auto">
          <a:xfrm>
            <a:off x="3154592" y="575292"/>
            <a:ext cx="479937" cy="481134"/>
          </a:xfrm>
          <a:custGeom>
            <a:avLst/>
            <a:gdLst>
              <a:gd name="T0" fmla="*/ 0 w 756"/>
              <a:gd name="T1" fmla="*/ 755 h 755"/>
              <a:gd name="T2" fmla="*/ 756 w 756"/>
              <a:gd name="T3" fmla="*/ 0 h 755"/>
              <a:gd name="T4" fmla="*/ 756 w 756"/>
              <a:gd name="T5" fmla="*/ 0 h 755"/>
            </a:gdLst>
            <a:ahLst/>
            <a:cxnLst>
              <a:cxn ang="0">
                <a:pos x="T0" y="T1"/>
              </a:cxn>
              <a:cxn ang="0">
                <a:pos x="T2" y="T3"/>
              </a:cxn>
              <a:cxn ang="0">
                <a:pos x="T4" y="T5"/>
              </a:cxn>
            </a:cxnLst>
            <a:rect l="0" t="0" r="r" b="b"/>
            <a:pathLst>
              <a:path w="756" h="755">
                <a:moveTo>
                  <a:pt x="0" y="755"/>
                </a:moveTo>
                <a:lnTo>
                  <a:pt x="75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4" name="Freeform 360">
            <a:extLst>
              <a:ext uri="{FF2B5EF4-FFF2-40B4-BE49-F238E27FC236}">
                <a16:creationId xmlns:a16="http://schemas.microsoft.com/office/drawing/2014/main" xmlns="" id="{0BA8A150-F8E7-4077-8CDA-A96279AB70DD}"/>
              </a:ext>
            </a:extLst>
          </xdr:cNvPr>
          <xdr:cNvSpPr>
            <a:spLocks/>
          </xdr:cNvSpPr>
        </xdr:nvSpPr>
        <xdr:spPr bwMode="auto">
          <a:xfrm>
            <a:off x="3137452" y="575292"/>
            <a:ext cx="479937" cy="481134"/>
          </a:xfrm>
          <a:custGeom>
            <a:avLst/>
            <a:gdLst>
              <a:gd name="T0" fmla="*/ 0 w 756"/>
              <a:gd name="T1" fmla="*/ 755 h 755"/>
              <a:gd name="T2" fmla="*/ 756 w 756"/>
              <a:gd name="T3" fmla="*/ 0 h 755"/>
              <a:gd name="T4" fmla="*/ 756 w 756"/>
              <a:gd name="T5" fmla="*/ 0 h 755"/>
            </a:gdLst>
            <a:ahLst/>
            <a:cxnLst>
              <a:cxn ang="0">
                <a:pos x="T0" y="T1"/>
              </a:cxn>
              <a:cxn ang="0">
                <a:pos x="T2" y="T3"/>
              </a:cxn>
              <a:cxn ang="0">
                <a:pos x="T4" y="T5"/>
              </a:cxn>
            </a:cxnLst>
            <a:rect l="0" t="0" r="r" b="b"/>
            <a:pathLst>
              <a:path w="756" h="755">
                <a:moveTo>
                  <a:pt x="0" y="755"/>
                </a:moveTo>
                <a:lnTo>
                  <a:pt x="75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5" name="Freeform 359">
            <a:extLst>
              <a:ext uri="{FF2B5EF4-FFF2-40B4-BE49-F238E27FC236}">
                <a16:creationId xmlns:a16="http://schemas.microsoft.com/office/drawing/2014/main" xmlns="" id="{1AB77654-6C97-4F9A-BDE5-DFBC261CA1DE}"/>
              </a:ext>
            </a:extLst>
          </xdr:cNvPr>
          <xdr:cNvSpPr>
            <a:spLocks/>
          </xdr:cNvSpPr>
        </xdr:nvSpPr>
        <xdr:spPr bwMode="auto">
          <a:xfrm>
            <a:off x="3120311" y="575292"/>
            <a:ext cx="479937" cy="481134"/>
          </a:xfrm>
          <a:custGeom>
            <a:avLst/>
            <a:gdLst>
              <a:gd name="T0" fmla="*/ 0 w 756"/>
              <a:gd name="T1" fmla="*/ 755 h 755"/>
              <a:gd name="T2" fmla="*/ 756 w 756"/>
              <a:gd name="T3" fmla="*/ 0 h 755"/>
              <a:gd name="T4" fmla="*/ 756 w 756"/>
              <a:gd name="T5" fmla="*/ 0 h 755"/>
            </a:gdLst>
            <a:ahLst/>
            <a:cxnLst>
              <a:cxn ang="0">
                <a:pos x="T0" y="T1"/>
              </a:cxn>
              <a:cxn ang="0">
                <a:pos x="T2" y="T3"/>
              </a:cxn>
              <a:cxn ang="0">
                <a:pos x="T4" y="T5"/>
              </a:cxn>
            </a:cxnLst>
            <a:rect l="0" t="0" r="r" b="b"/>
            <a:pathLst>
              <a:path w="756" h="755">
                <a:moveTo>
                  <a:pt x="0" y="755"/>
                </a:moveTo>
                <a:lnTo>
                  <a:pt x="75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6" name="Freeform 358">
            <a:extLst>
              <a:ext uri="{FF2B5EF4-FFF2-40B4-BE49-F238E27FC236}">
                <a16:creationId xmlns:a16="http://schemas.microsoft.com/office/drawing/2014/main" xmlns="" id="{02FF41D1-22E4-4D2D-8406-B440FEAA6B92}"/>
              </a:ext>
            </a:extLst>
          </xdr:cNvPr>
          <xdr:cNvSpPr>
            <a:spLocks/>
          </xdr:cNvSpPr>
        </xdr:nvSpPr>
        <xdr:spPr bwMode="auto">
          <a:xfrm>
            <a:off x="2577525" y="575292"/>
            <a:ext cx="479937" cy="481134"/>
          </a:xfrm>
          <a:custGeom>
            <a:avLst/>
            <a:gdLst>
              <a:gd name="T0" fmla="*/ 0 w 756"/>
              <a:gd name="T1" fmla="*/ 755 h 755"/>
              <a:gd name="T2" fmla="*/ 756 w 756"/>
              <a:gd name="T3" fmla="*/ 0 h 755"/>
              <a:gd name="T4" fmla="*/ 756 w 756"/>
              <a:gd name="T5" fmla="*/ 0 h 755"/>
            </a:gdLst>
            <a:ahLst/>
            <a:cxnLst>
              <a:cxn ang="0">
                <a:pos x="T0" y="T1"/>
              </a:cxn>
              <a:cxn ang="0">
                <a:pos x="T2" y="T3"/>
              </a:cxn>
              <a:cxn ang="0">
                <a:pos x="T4" y="T5"/>
              </a:cxn>
            </a:cxnLst>
            <a:rect l="0" t="0" r="r" b="b"/>
            <a:pathLst>
              <a:path w="756" h="755">
                <a:moveTo>
                  <a:pt x="0" y="755"/>
                </a:moveTo>
                <a:lnTo>
                  <a:pt x="75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7" name="Freeform 357">
            <a:extLst>
              <a:ext uri="{FF2B5EF4-FFF2-40B4-BE49-F238E27FC236}">
                <a16:creationId xmlns:a16="http://schemas.microsoft.com/office/drawing/2014/main" xmlns="" id="{C2C68B90-0BBC-489F-8663-A9B155917C1C}"/>
              </a:ext>
            </a:extLst>
          </xdr:cNvPr>
          <xdr:cNvSpPr>
            <a:spLocks/>
          </xdr:cNvSpPr>
        </xdr:nvSpPr>
        <xdr:spPr bwMode="auto">
          <a:xfrm>
            <a:off x="2560385" y="575292"/>
            <a:ext cx="479937" cy="481134"/>
          </a:xfrm>
          <a:custGeom>
            <a:avLst/>
            <a:gdLst>
              <a:gd name="T0" fmla="*/ 0 w 756"/>
              <a:gd name="T1" fmla="*/ 755 h 755"/>
              <a:gd name="T2" fmla="*/ 756 w 756"/>
              <a:gd name="T3" fmla="*/ 0 h 755"/>
              <a:gd name="T4" fmla="*/ 756 w 756"/>
              <a:gd name="T5" fmla="*/ 0 h 755"/>
            </a:gdLst>
            <a:ahLst/>
            <a:cxnLst>
              <a:cxn ang="0">
                <a:pos x="T0" y="T1"/>
              </a:cxn>
              <a:cxn ang="0">
                <a:pos x="T2" y="T3"/>
              </a:cxn>
              <a:cxn ang="0">
                <a:pos x="T4" y="T5"/>
              </a:cxn>
            </a:cxnLst>
            <a:rect l="0" t="0" r="r" b="b"/>
            <a:pathLst>
              <a:path w="756" h="755">
                <a:moveTo>
                  <a:pt x="0" y="755"/>
                </a:moveTo>
                <a:lnTo>
                  <a:pt x="75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8" name="Freeform 356">
            <a:extLst>
              <a:ext uri="{FF2B5EF4-FFF2-40B4-BE49-F238E27FC236}">
                <a16:creationId xmlns:a16="http://schemas.microsoft.com/office/drawing/2014/main" xmlns="" id="{241CFC50-AECA-4E8B-A0EE-DD6710141850}"/>
              </a:ext>
            </a:extLst>
          </xdr:cNvPr>
          <xdr:cNvSpPr>
            <a:spLocks/>
          </xdr:cNvSpPr>
        </xdr:nvSpPr>
        <xdr:spPr bwMode="auto">
          <a:xfrm>
            <a:off x="2543879" y="575292"/>
            <a:ext cx="479302" cy="481134"/>
          </a:xfrm>
          <a:custGeom>
            <a:avLst/>
            <a:gdLst>
              <a:gd name="T0" fmla="*/ 0 w 755"/>
              <a:gd name="T1" fmla="*/ 755 h 755"/>
              <a:gd name="T2" fmla="*/ 755 w 755"/>
              <a:gd name="T3" fmla="*/ 0 h 755"/>
              <a:gd name="T4" fmla="*/ 755 w 755"/>
              <a:gd name="T5" fmla="*/ 0 h 755"/>
            </a:gdLst>
            <a:ahLst/>
            <a:cxnLst>
              <a:cxn ang="0">
                <a:pos x="T0" y="T1"/>
              </a:cxn>
              <a:cxn ang="0">
                <a:pos x="T2" y="T3"/>
              </a:cxn>
              <a:cxn ang="0">
                <a:pos x="T4" y="T5"/>
              </a:cxn>
            </a:cxnLst>
            <a:rect l="0" t="0" r="r" b="b"/>
            <a:pathLst>
              <a:path w="755" h="755">
                <a:moveTo>
                  <a:pt x="0" y="755"/>
                </a:moveTo>
                <a:lnTo>
                  <a:pt x="75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9" name="Freeform 355">
            <a:extLst>
              <a:ext uri="{FF2B5EF4-FFF2-40B4-BE49-F238E27FC236}">
                <a16:creationId xmlns:a16="http://schemas.microsoft.com/office/drawing/2014/main" xmlns="" id="{4FD9268B-881A-47CA-A887-7B3C7B0724D0}"/>
              </a:ext>
            </a:extLst>
          </xdr:cNvPr>
          <xdr:cNvSpPr>
            <a:spLocks/>
          </xdr:cNvSpPr>
        </xdr:nvSpPr>
        <xdr:spPr bwMode="auto">
          <a:xfrm>
            <a:off x="2000459" y="575292"/>
            <a:ext cx="479937" cy="481134"/>
          </a:xfrm>
          <a:custGeom>
            <a:avLst/>
            <a:gdLst>
              <a:gd name="T0" fmla="*/ 0 w 756"/>
              <a:gd name="T1" fmla="*/ 755 h 755"/>
              <a:gd name="T2" fmla="*/ 756 w 756"/>
              <a:gd name="T3" fmla="*/ 0 h 755"/>
              <a:gd name="T4" fmla="*/ 756 w 756"/>
              <a:gd name="T5" fmla="*/ 0 h 755"/>
            </a:gdLst>
            <a:ahLst/>
            <a:cxnLst>
              <a:cxn ang="0">
                <a:pos x="T0" y="T1"/>
              </a:cxn>
              <a:cxn ang="0">
                <a:pos x="T2" y="T3"/>
              </a:cxn>
              <a:cxn ang="0">
                <a:pos x="T4" y="T5"/>
              </a:cxn>
            </a:cxnLst>
            <a:rect l="0" t="0" r="r" b="b"/>
            <a:pathLst>
              <a:path w="756" h="755">
                <a:moveTo>
                  <a:pt x="0" y="755"/>
                </a:moveTo>
                <a:lnTo>
                  <a:pt x="75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0" name="Freeform 354">
            <a:extLst>
              <a:ext uri="{FF2B5EF4-FFF2-40B4-BE49-F238E27FC236}">
                <a16:creationId xmlns:a16="http://schemas.microsoft.com/office/drawing/2014/main" xmlns="" id="{7B33B073-85A0-4A87-9ACB-2CD4CA51AE26}"/>
              </a:ext>
            </a:extLst>
          </xdr:cNvPr>
          <xdr:cNvSpPr>
            <a:spLocks/>
          </xdr:cNvSpPr>
        </xdr:nvSpPr>
        <xdr:spPr bwMode="auto">
          <a:xfrm>
            <a:off x="1983953" y="575292"/>
            <a:ext cx="479302" cy="481134"/>
          </a:xfrm>
          <a:custGeom>
            <a:avLst/>
            <a:gdLst>
              <a:gd name="T0" fmla="*/ 0 w 755"/>
              <a:gd name="T1" fmla="*/ 755 h 755"/>
              <a:gd name="T2" fmla="*/ 755 w 755"/>
              <a:gd name="T3" fmla="*/ 0 h 755"/>
              <a:gd name="T4" fmla="*/ 755 w 755"/>
              <a:gd name="T5" fmla="*/ 0 h 755"/>
            </a:gdLst>
            <a:ahLst/>
            <a:cxnLst>
              <a:cxn ang="0">
                <a:pos x="T0" y="T1"/>
              </a:cxn>
              <a:cxn ang="0">
                <a:pos x="T2" y="T3"/>
              </a:cxn>
              <a:cxn ang="0">
                <a:pos x="T4" y="T5"/>
              </a:cxn>
            </a:cxnLst>
            <a:rect l="0" t="0" r="r" b="b"/>
            <a:pathLst>
              <a:path w="755" h="755">
                <a:moveTo>
                  <a:pt x="0" y="755"/>
                </a:moveTo>
                <a:lnTo>
                  <a:pt x="75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1" name="Freeform 353">
            <a:extLst>
              <a:ext uri="{FF2B5EF4-FFF2-40B4-BE49-F238E27FC236}">
                <a16:creationId xmlns:a16="http://schemas.microsoft.com/office/drawing/2014/main" xmlns="" id="{38C789DF-4DB9-491D-83E1-59C066ACB773}"/>
              </a:ext>
            </a:extLst>
          </xdr:cNvPr>
          <xdr:cNvSpPr>
            <a:spLocks/>
          </xdr:cNvSpPr>
        </xdr:nvSpPr>
        <xdr:spPr bwMode="auto">
          <a:xfrm>
            <a:off x="1966812" y="575292"/>
            <a:ext cx="479937" cy="481134"/>
          </a:xfrm>
          <a:custGeom>
            <a:avLst/>
            <a:gdLst>
              <a:gd name="T0" fmla="*/ 0 w 756"/>
              <a:gd name="T1" fmla="*/ 755 h 755"/>
              <a:gd name="T2" fmla="*/ 756 w 756"/>
              <a:gd name="T3" fmla="*/ 0 h 755"/>
              <a:gd name="T4" fmla="*/ 756 w 756"/>
              <a:gd name="T5" fmla="*/ 0 h 755"/>
            </a:gdLst>
            <a:ahLst/>
            <a:cxnLst>
              <a:cxn ang="0">
                <a:pos x="T0" y="T1"/>
              </a:cxn>
              <a:cxn ang="0">
                <a:pos x="T2" y="T3"/>
              </a:cxn>
              <a:cxn ang="0">
                <a:pos x="T4" y="T5"/>
              </a:cxn>
            </a:cxnLst>
            <a:rect l="0" t="0" r="r" b="b"/>
            <a:pathLst>
              <a:path w="756" h="755">
                <a:moveTo>
                  <a:pt x="0" y="755"/>
                </a:moveTo>
                <a:lnTo>
                  <a:pt x="75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2" name="Freeform 352">
            <a:extLst>
              <a:ext uri="{FF2B5EF4-FFF2-40B4-BE49-F238E27FC236}">
                <a16:creationId xmlns:a16="http://schemas.microsoft.com/office/drawing/2014/main" xmlns="" id="{E359F356-758A-4618-BB7B-A187B60F434D}"/>
              </a:ext>
            </a:extLst>
          </xdr:cNvPr>
          <xdr:cNvSpPr>
            <a:spLocks/>
          </xdr:cNvSpPr>
        </xdr:nvSpPr>
        <xdr:spPr bwMode="auto">
          <a:xfrm>
            <a:off x="1684310" y="1056426"/>
            <a:ext cx="2784395" cy="637"/>
          </a:xfrm>
          <a:custGeom>
            <a:avLst/>
            <a:gdLst>
              <a:gd name="T0" fmla="*/ 4386 w 4386"/>
              <a:gd name="T1" fmla="*/ 0 w 4386"/>
              <a:gd name="T2" fmla="*/ 0 w 4386"/>
            </a:gdLst>
            <a:ahLst/>
            <a:cxnLst>
              <a:cxn ang="0">
                <a:pos x="T0" y="0"/>
              </a:cxn>
              <a:cxn ang="0">
                <a:pos x="T1" y="0"/>
              </a:cxn>
              <a:cxn ang="0">
                <a:pos x="T2" y="0"/>
              </a:cxn>
            </a:cxnLst>
            <a:rect l="0" t="0" r="r" b="b"/>
            <a:pathLst>
              <a:path w="4386">
                <a:moveTo>
                  <a:pt x="4386" y="0"/>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3" name="Freeform 351">
            <a:extLst>
              <a:ext uri="{FF2B5EF4-FFF2-40B4-BE49-F238E27FC236}">
                <a16:creationId xmlns:a16="http://schemas.microsoft.com/office/drawing/2014/main" xmlns="" id="{F3022DD6-3743-4B0C-B981-46682E9870AC}"/>
              </a:ext>
            </a:extLst>
          </xdr:cNvPr>
          <xdr:cNvSpPr>
            <a:spLocks/>
          </xdr:cNvSpPr>
        </xdr:nvSpPr>
        <xdr:spPr bwMode="auto">
          <a:xfrm>
            <a:off x="4274445" y="862061"/>
            <a:ext cx="194260" cy="194365"/>
          </a:xfrm>
          <a:custGeom>
            <a:avLst/>
            <a:gdLst>
              <a:gd name="T0" fmla="*/ 0 w 306"/>
              <a:gd name="T1" fmla="*/ 305 h 305"/>
              <a:gd name="T2" fmla="*/ 306 w 306"/>
              <a:gd name="T3" fmla="*/ 0 h 305"/>
              <a:gd name="T4" fmla="*/ 306 w 306"/>
              <a:gd name="T5" fmla="*/ 0 h 305"/>
            </a:gdLst>
            <a:ahLst/>
            <a:cxnLst>
              <a:cxn ang="0">
                <a:pos x="T0" y="T1"/>
              </a:cxn>
              <a:cxn ang="0">
                <a:pos x="T2" y="T3"/>
              </a:cxn>
              <a:cxn ang="0">
                <a:pos x="T4" y="T5"/>
              </a:cxn>
            </a:cxnLst>
            <a:rect l="0" t="0" r="r" b="b"/>
            <a:pathLst>
              <a:path w="306" h="305">
                <a:moveTo>
                  <a:pt x="0" y="305"/>
                </a:moveTo>
                <a:lnTo>
                  <a:pt x="30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4" name="Freeform 350">
            <a:extLst>
              <a:ext uri="{FF2B5EF4-FFF2-40B4-BE49-F238E27FC236}">
                <a16:creationId xmlns:a16="http://schemas.microsoft.com/office/drawing/2014/main" xmlns="" id="{9D8BC923-798B-4424-8CBF-C04C8A5CD651}"/>
              </a:ext>
            </a:extLst>
          </xdr:cNvPr>
          <xdr:cNvSpPr>
            <a:spLocks/>
          </xdr:cNvSpPr>
        </xdr:nvSpPr>
        <xdr:spPr bwMode="auto">
          <a:xfrm>
            <a:off x="4308726" y="895836"/>
            <a:ext cx="159979" cy="160590"/>
          </a:xfrm>
          <a:custGeom>
            <a:avLst/>
            <a:gdLst>
              <a:gd name="T0" fmla="*/ 0 w 252"/>
              <a:gd name="T1" fmla="*/ 252 h 252"/>
              <a:gd name="T2" fmla="*/ 252 w 252"/>
              <a:gd name="T3" fmla="*/ 0 h 252"/>
              <a:gd name="T4" fmla="*/ 252 w 252"/>
              <a:gd name="T5" fmla="*/ 0 h 252"/>
            </a:gdLst>
            <a:ahLst/>
            <a:cxnLst>
              <a:cxn ang="0">
                <a:pos x="T0" y="T1"/>
              </a:cxn>
              <a:cxn ang="0">
                <a:pos x="T2" y="T3"/>
              </a:cxn>
              <a:cxn ang="0">
                <a:pos x="T4" y="T5"/>
              </a:cxn>
            </a:cxnLst>
            <a:rect l="0" t="0" r="r" b="b"/>
            <a:pathLst>
              <a:path w="252" h="252">
                <a:moveTo>
                  <a:pt x="0" y="252"/>
                </a:moveTo>
                <a:lnTo>
                  <a:pt x="252"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5" name="Freeform 349">
            <a:extLst>
              <a:ext uri="{FF2B5EF4-FFF2-40B4-BE49-F238E27FC236}">
                <a16:creationId xmlns:a16="http://schemas.microsoft.com/office/drawing/2014/main" xmlns="" id="{7C66E20D-D75F-404F-9788-A734CA9E5E0F}"/>
              </a:ext>
            </a:extLst>
          </xdr:cNvPr>
          <xdr:cNvSpPr>
            <a:spLocks/>
          </xdr:cNvSpPr>
        </xdr:nvSpPr>
        <xdr:spPr bwMode="auto">
          <a:xfrm>
            <a:off x="4291585" y="878630"/>
            <a:ext cx="177120" cy="177797"/>
          </a:xfrm>
          <a:custGeom>
            <a:avLst/>
            <a:gdLst>
              <a:gd name="T0" fmla="*/ 0 w 279"/>
              <a:gd name="T1" fmla="*/ 279 h 279"/>
              <a:gd name="T2" fmla="*/ 279 w 279"/>
              <a:gd name="T3" fmla="*/ 0 h 279"/>
              <a:gd name="T4" fmla="*/ 279 w 279"/>
              <a:gd name="T5" fmla="*/ 0 h 279"/>
            </a:gdLst>
            <a:ahLst/>
            <a:cxnLst>
              <a:cxn ang="0">
                <a:pos x="T0" y="T1"/>
              </a:cxn>
              <a:cxn ang="0">
                <a:pos x="T2" y="T3"/>
              </a:cxn>
              <a:cxn ang="0">
                <a:pos x="T4" y="T5"/>
              </a:cxn>
            </a:cxnLst>
            <a:rect l="0" t="0" r="r" b="b"/>
            <a:pathLst>
              <a:path w="279" h="279">
                <a:moveTo>
                  <a:pt x="0" y="279"/>
                </a:moveTo>
                <a:lnTo>
                  <a:pt x="279"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6" name="Line 54">
            <a:extLst>
              <a:ext uri="{FF2B5EF4-FFF2-40B4-BE49-F238E27FC236}">
                <a16:creationId xmlns:a16="http://schemas.microsoft.com/office/drawing/2014/main" xmlns="" id="{C0F41260-D1BC-4A33-BEE2-148BC4A90A39}"/>
              </a:ext>
            </a:extLst>
          </xdr:cNvPr>
          <xdr:cNvSpPr>
            <a:spLocks noChangeShapeType="1"/>
          </xdr:cNvSpPr>
        </xdr:nvSpPr>
        <xdr:spPr bwMode="auto">
          <a:xfrm flipH="1">
            <a:off x="4237358" y="576561"/>
            <a:ext cx="0" cy="477961"/>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437" name="Text Box 53">
            <a:extLst>
              <a:ext uri="{FF2B5EF4-FFF2-40B4-BE49-F238E27FC236}">
                <a16:creationId xmlns:a16="http://schemas.microsoft.com/office/drawing/2014/main" xmlns="" id="{F7C2A715-4948-4852-91BA-B4252A8BF7CE}"/>
              </a:ext>
            </a:extLst>
          </xdr:cNvPr>
          <xdr:cNvSpPr txBox="1">
            <a:spLocks noChangeArrowheads="1"/>
          </xdr:cNvSpPr>
        </xdr:nvSpPr>
        <xdr:spPr bwMode="auto">
          <a:xfrm>
            <a:off x="4246892" y="745738"/>
            <a:ext cx="106777" cy="149761"/>
          </a:xfrm>
          <a:prstGeom prst="rect">
            <a:avLst/>
          </a:prstGeom>
          <a:noFill/>
          <a:ln>
            <a:noFill/>
          </a:ln>
          <a:extLst>
            <a:ext uri="{909E8E84-426E-40DD-AFC4-6F175D3DCCD1}">
              <a14:hiddenFill xmlns:a14="http://schemas.microsoft.com/office/drawing/2010/main">
                <a:solidFill>
                  <a:srgbClr val="969696"/>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h</a:t>
            </a:r>
          </a:p>
        </xdr:txBody>
      </xdr:sp>
    </xdr:grpSp>
    <xdr:clientData/>
  </xdr:twoCellAnchor>
  <xdr:twoCellAnchor>
    <xdr:from>
      <xdr:col>0</xdr:col>
      <xdr:colOff>312427</xdr:colOff>
      <xdr:row>0</xdr:row>
      <xdr:rowOff>123825</xdr:rowOff>
    </xdr:from>
    <xdr:to>
      <xdr:col>4</xdr:col>
      <xdr:colOff>353052</xdr:colOff>
      <xdr:row>1</xdr:row>
      <xdr:rowOff>78612</xdr:rowOff>
    </xdr:to>
    <xdr:sp macro="" textlink="">
      <xdr:nvSpPr>
        <xdr:cNvPr id="438" name="Text Box 52">
          <a:extLst>
            <a:ext uri="{FF2B5EF4-FFF2-40B4-BE49-F238E27FC236}">
              <a16:creationId xmlns:a16="http://schemas.microsoft.com/office/drawing/2014/main" xmlns="" id="{4BB88737-898D-4CBD-A9D5-B85A57A0709E}"/>
            </a:ext>
          </a:extLst>
        </xdr:cNvPr>
        <xdr:cNvSpPr txBox="1">
          <a:spLocks noChangeArrowheads="1"/>
        </xdr:cNvSpPr>
      </xdr:nvSpPr>
      <xdr:spPr bwMode="auto">
        <a:xfrm>
          <a:off x="1684027" y="361950"/>
          <a:ext cx="2783825" cy="192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50" b="0" i="0" u="none" strike="noStrike" baseline="0">
              <a:solidFill>
                <a:srgbClr val="000000"/>
              </a:solidFill>
              <a:latin typeface="ＭＳ Ｐゴシック"/>
              <a:ea typeface="ＭＳ Ｐゴシック"/>
            </a:rPr>
            <a:t>１.均質単板スラブ（RCスラブ）</a:t>
          </a:r>
        </a:p>
      </xdr:txBody>
    </xdr:sp>
    <xdr:clientData/>
  </xdr:twoCellAnchor>
  <xdr:twoCellAnchor>
    <xdr:from>
      <xdr:col>0</xdr:col>
      <xdr:colOff>309885</xdr:colOff>
      <xdr:row>4</xdr:row>
      <xdr:rowOff>11510</xdr:rowOff>
    </xdr:from>
    <xdr:to>
      <xdr:col>4</xdr:col>
      <xdr:colOff>350510</xdr:colOff>
      <xdr:row>4</xdr:row>
      <xdr:rowOff>204422</xdr:rowOff>
    </xdr:to>
    <xdr:sp macro="" textlink="">
      <xdr:nvSpPr>
        <xdr:cNvPr id="439" name="Text Box 51">
          <a:extLst>
            <a:ext uri="{FF2B5EF4-FFF2-40B4-BE49-F238E27FC236}">
              <a16:creationId xmlns:a16="http://schemas.microsoft.com/office/drawing/2014/main" xmlns="" id="{CC7AC275-D28C-499A-B24F-C70ACE458F88}"/>
            </a:ext>
          </a:extLst>
        </xdr:cNvPr>
        <xdr:cNvSpPr txBox="1">
          <a:spLocks noChangeArrowheads="1"/>
        </xdr:cNvSpPr>
      </xdr:nvSpPr>
      <xdr:spPr bwMode="auto">
        <a:xfrm>
          <a:off x="1681485" y="1202135"/>
          <a:ext cx="2783825" cy="192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50" b="0" i="0" u="none" strike="noStrike" baseline="0">
              <a:solidFill>
                <a:srgbClr val="000000"/>
              </a:solidFill>
              <a:latin typeface="ＭＳ Ｐゴシック"/>
              <a:ea typeface="ＭＳ Ｐゴシック"/>
            </a:rPr>
            <a:t>２.矩形中空合成スラブ</a:t>
          </a:r>
        </a:p>
      </xdr:txBody>
    </xdr:sp>
    <xdr:clientData/>
  </xdr:twoCellAnchor>
  <xdr:twoCellAnchor>
    <xdr:from>
      <xdr:col>0</xdr:col>
      <xdr:colOff>309249</xdr:colOff>
      <xdr:row>4</xdr:row>
      <xdr:rowOff>219017</xdr:rowOff>
    </xdr:from>
    <xdr:to>
      <xdr:col>4</xdr:col>
      <xdr:colOff>358772</xdr:colOff>
      <xdr:row>7</xdr:row>
      <xdr:rowOff>183643</xdr:rowOff>
    </xdr:to>
    <xdr:grpSp>
      <xdr:nvGrpSpPr>
        <xdr:cNvPr id="440" name="グループ化 439">
          <a:extLst>
            <a:ext uri="{FF2B5EF4-FFF2-40B4-BE49-F238E27FC236}">
              <a16:creationId xmlns:a16="http://schemas.microsoft.com/office/drawing/2014/main" xmlns="" id="{D5D9DDB6-FD15-4B1E-958B-18E80A708381}"/>
            </a:ext>
          </a:extLst>
        </xdr:cNvPr>
        <xdr:cNvGrpSpPr/>
      </xdr:nvGrpSpPr>
      <xdr:grpSpPr>
        <a:xfrm>
          <a:off x="309249" y="1209617"/>
          <a:ext cx="2716523" cy="707576"/>
          <a:chOff x="1679228" y="1414708"/>
          <a:chExt cx="2789480" cy="682041"/>
        </a:xfrm>
      </xdr:grpSpPr>
      <xdr:sp macro="" textlink="">
        <xdr:nvSpPr>
          <xdr:cNvPr id="441" name="Rectangle 374">
            <a:extLst>
              <a:ext uri="{FF2B5EF4-FFF2-40B4-BE49-F238E27FC236}">
                <a16:creationId xmlns:a16="http://schemas.microsoft.com/office/drawing/2014/main" xmlns="" id="{B5CD7297-42B0-4F19-A390-8E504A5CC6F4}"/>
              </a:ext>
            </a:extLst>
          </xdr:cNvPr>
          <xdr:cNvSpPr>
            <a:spLocks noChangeArrowheads="1"/>
          </xdr:cNvSpPr>
        </xdr:nvSpPr>
        <xdr:spPr bwMode="auto">
          <a:xfrm>
            <a:off x="4284391" y="1519794"/>
            <a:ext cx="184317" cy="501441"/>
          </a:xfrm>
          <a:prstGeom prst="rect">
            <a:avLst/>
          </a:prstGeom>
          <a:solidFill>
            <a:srgbClr val="96969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2" name="Rectangle 373">
            <a:extLst>
              <a:ext uri="{FF2B5EF4-FFF2-40B4-BE49-F238E27FC236}">
                <a16:creationId xmlns:a16="http://schemas.microsoft.com/office/drawing/2014/main" xmlns="" id="{BDBD9280-172E-4095-83FA-57DE1400D50A}"/>
              </a:ext>
            </a:extLst>
          </xdr:cNvPr>
          <xdr:cNvSpPr>
            <a:spLocks noChangeArrowheads="1"/>
          </xdr:cNvSpPr>
        </xdr:nvSpPr>
        <xdr:spPr bwMode="auto">
          <a:xfrm>
            <a:off x="2897913" y="1466489"/>
            <a:ext cx="359736" cy="501441"/>
          </a:xfrm>
          <a:prstGeom prst="rect">
            <a:avLst/>
          </a:prstGeom>
          <a:solidFill>
            <a:srgbClr val="96969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3" name="Rectangle 372">
            <a:extLst>
              <a:ext uri="{FF2B5EF4-FFF2-40B4-BE49-F238E27FC236}">
                <a16:creationId xmlns:a16="http://schemas.microsoft.com/office/drawing/2014/main" xmlns="" id="{81A00811-8C6A-4941-A1EA-7EADE481B177}"/>
              </a:ext>
            </a:extLst>
          </xdr:cNvPr>
          <xdr:cNvSpPr>
            <a:spLocks noChangeArrowheads="1"/>
          </xdr:cNvSpPr>
        </xdr:nvSpPr>
        <xdr:spPr bwMode="auto">
          <a:xfrm>
            <a:off x="1788547" y="1414708"/>
            <a:ext cx="2680161" cy="265378"/>
          </a:xfrm>
          <a:prstGeom prst="rect">
            <a:avLst/>
          </a:prstGeom>
          <a:solidFill>
            <a:srgbClr val="96969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4" name="Rectangle 371">
            <a:extLst>
              <a:ext uri="{FF2B5EF4-FFF2-40B4-BE49-F238E27FC236}">
                <a16:creationId xmlns:a16="http://schemas.microsoft.com/office/drawing/2014/main" xmlns="" id="{745D8CE2-667D-47DA-A7FB-2D9EAABB24FE}"/>
              </a:ext>
            </a:extLst>
          </xdr:cNvPr>
          <xdr:cNvSpPr>
            <a:spLocks noChangeArrowheads="1"/>
          </xdr:cNvSpPr>
        </xdr:nvSpPr>
        <xdr:spPr bwMode="auto">
          <a:xfrm>
            <a:off x="1679228" y="1417247"/>
            <a:ext cx="184317" cy="502455"/>
          </a:xfrm>
          <a:prstGeom prst="rect">
            <a:avLst/>
          </a:prstGeom>
          <a:solidFill>
            <a:srgbClr val="96969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5" name="Rectangle 370">
            <a:extLst>
              <a:ext uri="{FF2B5EF4-FFF2-40B4-BE49-F238E27FC236}">
                <a16:creationId xmlns:a16="http://schemas.microsoft.com/office/drawing/2014/main" xmlns="" id="{A2E5D6DA-CF6F-4175-933B-0A76CA7CEBB2}"/>
              </a:ext>
            </a:extLst>
          </xdr:cNvPr>
          <xdr:cNvSpPr>
            <a:spLocks noChangeArrowheads="1"/>
          </xdr:cNvSpPr>
        </xdr:nvSpPr>
        <xdr:spPr bwMode="auto">
          <a:xfrm>
            <a:off x="1679864" y="1920336"/>
            <a:ext cx="2786938" cy="171971"/>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6" name="Freeform 348">
            <a:extLst>
              <a:ext uri="{FF2B5EF4-FFF2-40B4-BE49-F238E27FC236}">
                <a16:creationId xmlns:a16="http://schemas.microsoft.com/office/drawing/2014/main" xmlns="" id="{8BF544B1-F335-40D9-8121-14A0B37795FA}"/>
              </a:ext>
            </a:extLst>
          </xdr:cNvPr>
          <xdr:cNvSpPr>
            <a:spLocks/>
          </xdr:cNvSpPr>
        </xdr:nvSpPr>
        <xdr:spPr bwMode="auto">
          <a:xfrm>
            <a:off x="1864603" y="1682219"/>
            <a:ext cx="635" cy="240248"/>
          </a:xfrm>
          <a:custGeom>
            <a:avLst/>
            <a:gdLst>
              <a:gd name="T0" fmla="*/ 377 h 377"/>
              <a:gd name="T1" fmla="*/ 0 h 377"/>
              <a:gd name="T2" fmla="*/ 0 h 377"/>
            </a:gdLst>
            <a:ahLst/>
            <a:cxnLst>
              <a:cxn ang="0">
                <a:pos x="0" y="T0"/>
              </a:cxn>
              <a:cxn ang="0">
                <a:pos x="0" y="T1"/>
              </a:cxn>
              <a:cxn ang="0">
                <a:pos x="0" y="T2"/>
              </a:cxn>
            </a:cxnLst>
            <a:rect l="0" t="0" r="r" b="b"/>
            <a:pathLst>
              <a:path h="377">
                <a:moveTo>
                  <a:pt x="0" y="377"/>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7" name="Freeform 347">
            <a:extLst>
              <a:ext uri="{FF2B5EF4-FFF2-40B4-BE49-F238E27FC236}">
                <a16:creationId xmlns:a16="http://schemas.microsoft.com/office/drawing/2014/main" xmlns="" id="{E300907A-E680-4AD1-9DA1-5B9F5575A184}"/>
              </a:ext>
            </a:extLst>
          </xdr:cNvPr>
          <xdr:cNvSpPr>
            <a:spLocks/>
          </xdr:cNvSpPr>
        </xdr:nvSpPr>
        <xdr:spPr bwMode="auto">
          <a:xfrm>
            <a:off x="2895579" y="1682219"/>
            <a:ext cx="635" cy="240248"/>
          </a:xfrm>
          <a:custGeom>
            <a:avLst/>
            <a:gdLst>
              <a:gd name="T0" fmla="*/ 0 h 377"/>
              <a:gd name="T1" fmla="*/ 377 h 377"/>
              <a:gd name="T2" fmla="*/ 377 h 377"/>
            </a:gdLst>
            <a:ahLst/>
            <a:cxnLst>
              <a:cxn ang="0">
                <a:pos x="0" y="T0"/>
              </a:cxn>
              <a:cxn ang="0">
                <a:pos x="0" y="T1"/>
              </a:cxn>
              <a:cxn ang="0">
                <a:pos x="0" y="T2"/>
              </a:cxn>
            </a:cxnLst>
            <a:rect l="0" t="0" r="r" b="b"/>
            <a:pathLst>
              <a:path h="377">
                <a:moveTo>
                  <a:pt x="0" y="0"/>
                </a:moveTo>
                <a:lnTo>
                  <a:pt x="0" y="377"/>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8" name="Freeform 346">
            <a:extLst>
              <a:ext uri="{FF2B5EF4-FFF2-40B4-BE49-F238E27FC236}">
                <a16:creationId xmlns:a16="http://schemas.microsoft.com/office/drawing/2014/main" xmlns="" id="{4BC441B4-2080-496F-9C86-76AA066D26D2}"/>
              </a:ext>
            </a:extLst>
          </xdr:cNvPr>
          <xdr:cNvSpPr>
            <a:spLocks/>
          </xdr:cNvSpPr>
        </xdr:nvSpPr>
        <xdr:spPr bwMode="auto">
          <a:xfrm>
            <a:off x="3256166" y="1682219"/>
            <a:ext cx="635" cy="240248"/>
          </a:xfrm>
          <a:custGeom>
            <a:avLst/>
            <a:gdLst>
              <a:gd name="T0" fmla="*/ 377 h 377"/>
              <a:gd name="T1" fmla="*/ 0 h 377"/>
              <a:gd name="T2" fmla="*/ 0 h 377"/>
            </a:gdLst>
            <a:ahLst/>
            <a:cxnLst>
              <a:cxn ang="0">
                <a:pos x="0" y="T0"/>
              </a:cxn>
              <a:cxn ang="0">
                <a:pos x="0" y="T1"/>
              </a:cxn>
              <a:cxn ang="0">
                <a:pos x="0" y="T2"/>
              </a:cxn>
            </a:cxnLst>
            <a:rect l="0" t="0" r="r" b="b"/>
            <a:pathLst>
              <a:path h="377">
                <a:moveTo>
                  <a:pt x="0" y="377"/>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9" name="Freeform 345">
            <a:extLst>
              <a:ext uri="{FF2B5EF4-FFF2-40B4-BE49-F238E27FC236}">
                <a16:creationId xmlns:a16="http://schemas.microsoft.com/office/drawing/2014/main" xmlns="" id="{879C32BB-FB0C-4CA2-BCAA-46526E1355F4}"/>
              </a:ext>
            </a:extLst>
          </xdr:cNvPr>
          <xdr:cNvSpPr>
            <a:spLocks/>
          </xdr:cNvSpPr>
        </xdr:nvSpPr>
        <xdr:spPr bwMode="auto">
          <a:xfrm>
            <a:off x="4287776" y="1682219"/>
            <a:ext cx="635" cy="240248"/>
          </a:xfrm>
          <a:custGeom>
            <a:avLst/>
            <a:gdLst>
              <a:gd name="T0" fmla="*/ 0 h 377"/>
              <a:gd name="T1" fmla="*/ 377 h 377"/>
              <a:gd name="T2" fmla="*/ 377 h 377"/>
            </a:gdLst>
            <a:ahLst/>
            <a:cxnLst>
              <a:cxn ang="0">
                <a:pos x="0" y="T0"/>
              </a:cxn>
              <a:cxn ang="0">
                <a:pos x="0" y="T1"/>
              </a:cxn>
              <a:cxn ang="0">
                <a:pos x="0" y="T2"/>
              </a:cxn>
            </a:cxnLst>
            <a:rect l="0" t="0" r="r" b="b"/>
            <a:pathLst>
              <a:path h="377">
                <a:moveTo>
                  <a:pt x="0" y="0"/>
                </a:moveTo>
                <a:lnTo>
                  <a:pt x="0" y="377"/>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0" name="Freeform 344">
            <a:extLst>
              <a:ext uri="{FF2B5EF4-FFF2-40B4-BE49-F238E27FC236}">
                <a16:creationId xmlns:a16="http://schemas.microsoft.com/office/drawing/2014/main" xmlns="" id="{8DB63C75-1DB7-434E-9338-89096F271798}"/>
              </a:ext>
            </a:extLst>
          </xdr:cNvPr>
          <xdr:cNvSpPr>
            <a:spLocks/>
          </xdr:cNvSpPr>
        </xdr:nvSpPr>
        <xdr:spPr bwMode="auto">
          <a:xfrm>
            <a:off x="1684310" y="2091342"/>
            <a:ext cx="2783760" cy="637"/>
          </a:xfrm>
          <a:custGeom>
            <a:avLst/>
            <a:gdLst>
              <a:gd name="T0" fmla="*/ 0 w 4385"/>
              <a:gd name="T1" fmla="*/ 4385 w 4385"/>
              <a:gd name="T2" fmla="*/ 4385 w 4385"/>
            </a:gdLst>
            <a:ahLst/>
            <a:cxnLst>
              <a:cxn ang="0">
                <a:pos x="T0" y="0"/>
              </a:cxn>
              <a:cxn ang="0">
                <a:pos x="T1" y="0"/>
              </a:cxn>
              <a:cxn ang="0">
                <a:pos x="T2" y="0"/>
              </a:cxn>
            </a:cxnLst>
            <a:rect l="0" t="0" r="r" b="b"/>
            <a:pathLst>
              <a:path w="4385">
                <a:moveTo>
                  <a:pt x="0" y="0"/>
                </a:moveTo>
                <a:lnTo>
                  <a:pt x="438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1" name="Freeform 343">
            <a:extLst>
              <a:ext uri="{FF2B5EF4-FFF2-40B4-BE49-F238E27FC236}">
                <a16:creationId xmlns:a16="http://schemas.microsoft.com/office/drawing/2014/main" xmlns="" id="{C72C1340-47EC-4C6C-A441-0DBE6638EB2F}"/>
              </a:ext>
            </a:extLst>
          </xdr:cNvPr>
          <xdr:cNvSpPr>
            <a:spLocks/>
          </xdr:cNvSpPr>
        </xdr:nvSpPr>
        <xdr:spPr bwMode="auto">
          <a:xfrm>
            <a:off x="1684310" y="1417755"/>
            <a:ext cx="2783760" cy="637"/>
          </a:xfrm>
          <a:custGeom>
            <a:avLst/>
            <a:gdLst>
              <a:gd name="T0" fmla="*/ 4385 w 4385"/>
              <a:gd name="T1" fmla="*/ 0 w 4385"/>
              <a:gd name="T2" fmla="*/ 0 w 4385"/>
            </a:gdLst>
            <a:ahLst/>
            <a:cxnLst>
              <a:cxn ang="0">
                <a:pos x="T0" y="0"/>
              </a:cxn>
              <a:cxn ang="0">
                <a:pos x="T1" y="0"/>
              </a:cxn>
              <a:cxn ang="0">
                <a:pos x="T2" y="0"/>
              </a:cxn>
            </a:cxnLst>
            <a:rect l="0" t="0" r="r" b="b"/>
            <a:pathLst>
              <a:path w="4385">
                <a:moveTo>
                  <a:pt x="4385" y="0"/>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2" name="Freeform 342">
            <a:extLst>
              <a:ext uri="{FF2B5EF4-FFF2-40B4-BE49-F238E27FC236}">
                <a16:creationId xmlns:a16="http://schemas.microsoft.com/office/drawing/2014/main" xmlns="" id="{1B174A39-8812-4064-BAAF-DF42614ADC7E}"/>
              </a:ext>
            </a:extLst>
          </xdr:cNvPr>
          <xdr:cNvSpPr>
            <a:spLocks/>
          </xdr:cNvSpPr>
        </xdr:nvSpPr>
        <xdr:spPr bwMode="auto">
          <a:xfrm>
            <a:off x="1684310" y="1922467"/>
            <a:ext cx="57770" cy="637"/>
          </a:xfrm>
          <a:custGeom>
            <a:avLst/>
            <a:gdLst>
              <a:gd name="T0" fmla="*/ 0 w 91"/>
              <a:gd name="T1" fmla="*/ 91 w 91"/>
              <a:gd name="T2" fmla="*/ 91 w 91"/>
            </a:gdLst>
            <a:ahLst/>
            <a:cxnLst>
              <a:cxn ang="0">
                <a:pos x="T0" y="0"/>
              </a:cxn>
              <a:cxn ang="0">
                <a:pos x="T1" y="0"/>
              </a:cxn>
              <a:cxn ang="0">
                <a:pos x="T2" y="0"/>
              </a:cxn>
            </a:cxnLst>
            <a:rect l="0" t="0" r="r" b="b"/>
            <a:pathLst>
              <a:path w="91">
                <a:moveTo>
                  <a:pt x="0" y="0"/>
                </a:moveTo>
                <a:lnTo>
                  <a:pt x="91"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3" name="Freeform 341">
            <a:extLst>
              <a:ext uri="{FF2B5EF4-FFF2-40B4-BE49-F238E27FC236}">
                <a16:creationId xmlns:a16="http://schemas.microsoft.com/office/drawing/2014/main" xmlns="" id="{C9DAEAB2-A8C0-4CC4-98DA-515C705BBA21}"/>
              </a:ext>
            </a:extLst>
          </xdr:cNvPr>
          <xdr:cNvSpPr>
            <a:spLocks/>
          </xdr:cNvSpPr>
        </xdr:nvSpPr>
        <xdr:spPr bwMode="auto">
          <a:xfrm>
            <a:off x="1756046" y="1922467"/>
            <a:ext cx="1248090" cy="637"/>
          </a:xfrm>
          <a:custGeom>
            <a:avLst/>
            <a:gdLst>
              <a:gd name="T0" fmla="*/ 0 w 1966"/>
              <a:gd name="T1" fmla="*/ 1966 w 1966"/>
              <a:gd name="T2" fmla="*/ 1966 w 1966"/>
            </a:gdLst>
            <a:ahLst/>
            <a:cxnLst>
              <a:cxn ang="0">
                <a:pos x="T0" y="0"/>
              </a:cxn>
              <a:cxn ang="0">
                <a:pos x="T1" y="0"/>
              </a:cxn>
              <a:cxn ang="0">
                <a:pos x="T2" y="0"/>
              </a:cxn>
            </a:cxnLst>
            <a:rect l="0" t="0" r="r" b="b"/>
            <a:pathLst>
              <a:path w="1966">
                <a:moveTo>
                  <a:pt x="0" y="0"/>
                </a:moveTo>
                <a:lnTo>
                  <a:pt x="196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4" name="Freeform 340">
            <a:extLst>
              <a:ext uri="{FF2B5EF4-FFF2-40B4-BE49-F238E27FC236}">
                <a16:creationId xmlns:a16="http://schemas.microsoft.com/office/drawing/2014/main" xmlns="" id="{920A1ACE-420F-45D3-B7DD-2718BBE19667}"/>
              </a:ext>
            </a:extLst>
          </xdr:cNvPr>
          <xdr:cNvSpPr>
            <a:spLocks/>
          </xdr:cNvSpPr>
        </xdr:nvSpPr>
        <xdr:spPr bwMode="auto">
          <a:xfrm>
            <a:off x="3018737" y="1922467"/>
            <a:ext cx="114906" cy="637"/>
          </a:xfrm>
          <a:custGeom>
            <a:avLst/>
            <a:gdLst>
              <a:gd name="T0" fmla="*/ 0 w 181"/>
              <a:gd name="T1" fmla="*/ 181 w 181"/>
              <a:gd name="T2" fmla="*/ 181 w 181"/>
            </a:gdLst>
            <a:ahLst/>
            <a:cxnLst>
              <a:cxn ang="0">
                <a:pos x="T0" y="0"/>
              </a:cxn>
              <a:cxn ang="0">
                <a:pos x="T1" y="0"/>
              </a:cxn>
              <a:cxn ang="0">
                <a:pos x="T2" y="0"/>
              </a:cxn>
            </a:cxnLst>
            <a:rect l="0" t="0" r="r" b="b"/>
            <a:pathLst>
              <a:path w="181">
                <a:moveTo>
                  <a:pt x="0" y="0"/>
                </a:moveTo>
                <a:lnTo>
                  <a:pt x="181"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5" name="Freeform 339">
            <a:extLst>
              <a:ext uri="{FF2B5EF4-FFF2-40B4-BE49-F238E27FC236}">
                <a16:creationId xmlns:a16="http://schemas.microsoft.com/office/drawing/2014/main" xmlns="" id="{316EAD8A-CF7C-4121-839B-63219D585CF5}"/>
              </a:ext>
            </a:extLst>
          </xdr:cNvPr>
          <xdr:cNvSpPr>
            <a:spLocks/>
          </xdr:cNvSpPr>
        </xdr:nvSpPr>
        <xdr:spPr bwMode="auto">
          <a:xfrm>
            <a:off x="1684310" y="2091342"/>
            <a:ext cx="2783760" cy="637"/>
          </a:xfrm>
          <a:custGeom>
            <a:avLst/>
            <a:gdLst>
              <a:gd name="T0" fmla="*/ 0 w 4385"/>
              <a:gd name="T1" fmla="*/ 4385 w 4385"/>
              <a:gd name="T2" fmla="*/ 4385 w 4385"/>
            </a:gdLst>
            <a:ahLst/>
            <a:cxnLst>
              <a:cxn ang="0">
                <a:pos x="T0" y="0"/>
              </a:cxn>
              <a:cxn ang="0">
                <a:pos x="T1" y="0"/>
              </a:cxn>
              <a:cxn ang="0">
                <a:pos x="T2" y="0"/>
              </a:cxn>
            </a:cxnLst>
            <a:rect l="0" t="0" r="r" b="b"/>
            <a:pathLst>
              <a:path w="4385">
                <a:moveTo>
                  <a:pt x="0" y="0"/>
                </a:moveTo>
                <a:lnTo>
                  <a:pt x="438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6" name="Freeform 338">
            <a:extLst>
              <a:ext uri="{FF2B5EF4-FFF2-40B4-BE49-F238E27FC236}">
                <a16:creationId xmlns:a16="http://schemas.microsoft.com/office/drawing/2014/main" xmlns="" id="{54D29986-A3E5-46D0-8387-FCF7335FF789}"/>
              </a:ext>
            </a:extLst>
          </xdr:cNvPr>
          <xdr:cNvSpPr>
            <a:spLocks/>
          </xdr:cNvSpPr>
        </xdr:nvSpPr>
        <xdr:spPr bwMode="auto">
          <a:xfrm>
            <a:off x="3925284" y="1922467"/>
            <a:ext cx="168232" cy="168875"/>
          </a:xfrm>
          <a:custGeom>
            <a:avLst/>
            <a:gdLst>
              <a:gd name="T0" fmla="*/ 0 w 265"/>
              <a:gd name="T1" fmla="*/ 265 h 265"/>
              <a:gd name="T2" fmla="*/ 265 w 265"/>
              <a:gd name="T3" fmla="*/ 0 h 265"/>
              <a:gd name="T4" fmla="*/ 265 w 265"/>
              <a:gd name="T5" fmla="*/ 0 h 265"/>
            </a:gdLst>
            <a:ahLst/>
            <a:cxnLst>
              <a:cxn ang="0">
                <a:pos x="T0" y="T1"/>
              </a:cxn>
              <a:cxn ang="0">
                <a:pos x="T2" y="T3"/>
              </a:cxn>
              <a:cxn ang="0">
                <a:pos x="T4" y="T5"/>
              </a:cxn>
            </a:cxnLst>
            <a:rect l="0" t="0" r="r" b="b"/>
            <a:pathLst>
              <a:path w="265" h="265">
                <a:moveTo>
                  <a:pt x="0" y="265"/>
                </a:moveTo>
                <a:lnTo>
                  <a:pt x="26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7" name="Freeform 337">
            <a:extLst>
              <a:ext uri="{FF2B5EF4-FFF2-40B4-BE49-F238E27FC236}">
                <a16:creationId xmlns:a16="http://schemas.microsoft.com/office/drawing/2014/main" xmlns="" id="{3129E2E9-A571-4B42-BB1C-0BA4E00AF869}"/>
              </a:ext>
            </a:extLst>
          </xdr:cNvPr>
          <xdr:cNvSpPr>
            <a:spLocks/>
          </xdr:cNvSpPr>
        </xdr:nvSpPr>
        <xdr:spPr bwMode="auto">
          <a:xfrm>
            <a:off x="3908144" y="1922467"/>
            <a:ext cx="168232" cy="168875"/>
          </a:xfrm>
          <a:custGeom>
            <a:avLst/>
            <a:gdLst>
              <a:gd name="T0" fmla="*/ 0 w 265"/>
              <a:gd name="T1" fmla="*/ 265 h 265"/>
              <a:gd name="T2" fmla="*/ 265 w 265"/>
              <a:gd name="T3" fmla="*/ 0 h 265"/>
              <a:gd name="T4" fmla="*/ 265 w 265"/>
              <a:gd name="T5" fmla="*/ 0 h 265"/>
            </a:gdLst>
            <a:ahLst/>
            <a:cxnLst>
              <a:cxn ang="0">
                <a:pos x="T0" y="T1"/>
              </a:cxn>
              <a:cxn ang="0">
                <a:pos x="T2" y="T3"/>
              </a:cxn>
              <a:cxn ang="0">
                <a:pos x="T4" y="T5"/>
              </a:cxn>
            </a:cxnLst>
            <a:rect l="0" t="0" r="r" b="b"/>
            <a:pathLst>
              <a:path w="265" h="265">
                <a:moveTo>
                  <a:pt x="0" y="265"/>
                </a:moveTo>
                <a:lnTo>
                  <a:pt x="26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8" name="Freeform 336">
            <a:extLst>
              <a:ext uri="{FF2B5EF4-FFF2-40B4-BE49-F238E27FC236}">
                <a16:creationId xmlns:a16="http://schemas.microsoft.com/office/drawing/2014/main" xmlns="" id="{C91CA2B3-801A-45A0-9AB8-E3545EBC95B8}"/>
              </a:ext>
            </a:extLst>
          </xdr:cNvPr>
          <xdr:cNvSpPr>
            <a:spLocks/>
          </xdr:cNvSpPr>
        </xdr:nvSpPr>
        <xdr:spPr bwMode="auto">
          <a:xfrm>
            <a:off x="3399005" y="1922467"/>
            <a:ext cx="168232" cy="168875"/>
          </a:xfrm>
          <a:custGeom>
            <a:avLst/>
            <a:gdLst>
              <a:gd name="T0" fmla="*/ 0 w 265"/>
              <a:gd name="T1" fmla="*/ 265 h 265"/>
              <a:gd name="T2" fmla="*/ 265 w 265"/>
              <a:gd name="T3" fmla="*/ 0 h 265"/>
              <a:gd name="T4" fmla="*/ 265 w 265"/>
              <a:gd name="T5" fmla="*/ 0 h 265"/>
            </a:gdLst>
            <a:ahLst/>
            <a:cxnLst>
              <a:cxn ang="0">
                <a:pos x="T0" y="T1"/>
              </a:cxn>
              <a:cxn ang="0">
                <a:pos x="T2" y="T3"/>
              </a:cxn>
              <a:cxn ang="0">
                <a:pos x="T4" y="T5"/>
              </a:cxn>
            </a:cxnLst>
            <a:rect l="0" t="0" r="r" b="b"/>
            <a:pathLst>
              <a:path w="265" h="265">
                <a:moveTo>
                  <a:pt x="0" y="265"/>
                </a:moveTo>
                <a:lnTo>
                  <a:pt x="26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9" name="Freeform 335">
            <a:extLst>
              <a:ext uri="{FF2B5EF4-FFF2-40B4-BE49-F238E27FC236}">
                <a16:creationId xmlns:a16="http://schemas.microsoft.com/office/drawing/2014/main" xmlns="" id="{E89C37F9-8D9E-4DE9-BF86-ADC512EDEA53}"/>
              </a:ext>
            </a:extLst>
          </xdr:cNvPr>
          <xdr:cNvSpPr>
            <a:spLocks/>
          </xdr:cNvSpPr>
        </xdr:nvSpPr>
        <xdr:spPr bwMode="auto">
          <a:xfrm>
            <a:off x="3382499" y="1922467"/>
            <a:ext cx="167597" cy="168875"/>
          </a:xfrm>
          <a:custGeom>
            <a:avLst/>
            <a:gdLst>
              <a:gd name="T0" fmla="*/ 0 w 264"/>
              <a:gd name="T1" fmla="*/ 265 h 265"/>
              <a:gd name="T2" fmla="*/ 264 w 264"/>
              <a:gd name="T3" fmla="*/ 0 h 265"/>
              <a:gd name="T4" fmla="*/ 264 w 264"/>
              <a:gd name="T5" fmla="*/ 0 h 265"/>
            </a:gdLst>
            <a:ahLst/>
            <a:cxnLst>
              <a:cxn ang="0">
                <a:pos x="T0" y="T1"/>
              </a:cxn>
              <a:cxn ang="0">
                <a:pos x="T2" y="T3"/>
              </a:cxn>
              <a:cxn ang="0">
                <a:pos x="T4" y="T5"/>
              </a:cxn>
            </a:cxnLst>
            <a:rect l="0" t="0" r="r" b="b"/>
            <a:pathLst>
              <a:path w="264" h="265">
                <a:moveTo>
                  <a:pt x="0" y="265"/>
                </a:moveTo>
                <a:lnTo>
                  <a:pt x="26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60" name="Freeform 334">
            <a:extLst>
              <a:ext uri="{FF2B5EF4-FFF2-40B4-BE49-F238E27FC236}">
                <a16:creationId xmlns:a16="http://schemas.microsoft.com/office/drawing/2014/main" xmlns="" id="{3AB5B11A-947C-4673-B57A-DC6854C2D4BA}"/>
              </a:ext>
            </a:extLst>
          </xdr:cNvPr>
          <xdr:cNvSpPr>
            <a:spLocks/>
          </xdr:cNvSpPr>
        </xdr:nvSpPr>
        <xdr:spPr bwMode="auto">
          <a:xfrm>
            <a:off x="2347080" y="1922467"/>
            <a:ext cx="168232" cy="168875"/>
          </a:xfrm>
          <a:custGeom>
            <a:avLst/>
            <a:gdLst>
              <a:gd name="T0" fmla="*/ 0 w 265"/>
              <a:gd name="T1" fmla="*/ 265 h 265"/>
              <a:gd name="T2" fmla="*/ 265 w 265"/>
              <a:gd name="T3" fmla="*/ 0 h 265"/>
              <a:gd name="T4" fmla="*/ 265 w 265"/>
              <a:gd name="T5" fmla="*/ 0 h 265"/>
            </a:gdLst>
            <a:ahLst/>
            <a:cxnLst>
              <a:cxn ang="0">
                <a:pos x="T0" y="T1"/>
              </a:cxn>
              <a:cxn ang="0">
                <a:pos x="T2" y="T3"/>
              </a:cxn>
              <a:cxn ang="0">
                <a:pos x="T4" y="T5"/>
              </a:cxn>
            </a:cxnLst>
            <a:rect l="0" t="0" r="r" b="b"/>
            <a:pathLst>
              <a:path w="265" h="265">
                <a:moveTo>
                  <a:pt x="0" y="265"/>
                </a:moveTo>
                <a:lnTo>
                  <a:pt x="26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61" name="Freeform 333">
            <a:extLst>
              <a:ext uri="{FF2B5EF4-FFF2-40B4-BE49-F238E27FC236}">
                <a16:creationId xmlns:a16="http://schemas.microsoft.com/office/drawing/2014/main" xmlns="" id="{B46C4F33-08A8-42D6-958B-8A7DFF530C05}"/>
              </a:ext>
            </a:extLst>
          </xdr:cNvPr>
          <xdr:cNvSpPr>
            <a:spLocks/>
          </xdr:cNvSpPr>
        </xdr:nvSpPr>
        <xdr:spPr bwMode="auto">
          <a:xfrm>
            <a:off x="2329939" y="1922467"/>
            <a:ext cx="168232" cy="168875"/>
          </a:xfrm>
          <a:custGeom>
            <a:avLst/>
            <a:gdLst>
              <a:gd name="T0" fmla="*/ 0 w 265"/>
              <a:gd name="T1" fmla="*/ 265 h 265"/>
              <a:gd name="T2" fmla="*/ 265 w 265"/>
              <a:gd name="T3" fmla="*/ 0 h 265"/>
              <a:gd name="T4" fmla="*/ 265 w 265"/>
              <a:gd name="T5" fmla="*/ 0 h 265"/>
            </a:gdLst>
            <a:ahLst/>
            <a:cxnLst>
              <a:cxn ang="0">
                <a:pos x="T0" y="T1"/>
              </a:cxn>
              <a:cxn ang="0">
                <a:pos x="T2" y="T3"/>
              </a:cxn>
              <a:cxn ang="0">
                <a:pos x="T4" y="T5"/>
              </a:cxn>
            </a:cxnLst>
            <a:rect l="0" t="0" r="r" b="b"/>
            <a:pathLst>
              <a:path w="265" h="265">
                <a:moveTo>
                  <a:pt x="0" y="265"/>
                </a:moveTo>
                <a:lnTo>
                  <a:pt x="26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62" name="Freeform 332">
            <a:extLst>
              <a:ext uri="{FF2B5EF4-FFF2-40B4-BE49-F238E27FC236}">
                <a16:creationId xmlns:a16="http://schemas.microsoft.com/office/drawing/2014/main" xmlns="" id="{CC4567B9-4B26-443E-972D-8E626B6742B0}"/>
              </a:ext>
            </a:extLst>
          </xdr:cNvPr>
          <xdr:cNvSpPr>
            <a:spLocks/>
          </xdr:cNvSpPr>
        </xdr:nvSpPr>
        <xdr:spPr bwMode="auto">
          <a:xfrm>
            <a:off x="1820800" y="1922467"/>
            <a:ext cx="168232" cy="168875"/>
          </a:xfrm>
          <a:custGeom>
            <a:avLst/>
            <a:gdLst>
              <a:gd name="T0" fmla="*/ 0 w 265"/>
              <a:gd name="T1" fmla="*/ 265 h 265"/>
              <a:gd name="T2" fmla="*/ 265 w 265"/>
              <a:gd name="T3" fmla="*/ 0 h 265"/>
              <a:gd name="T4" fmla="*/ 265 w 265"/>
              <a:gd name="T5" fmla="*/ 0 h 265"/>
            </a:gdLst>
            <a:ahLst/>
            <a:cxnLst>
              <a:cxn ang="0">
                <a:pos x="T0" y="T1"/>
              </a:cxn>
              <a:cxn ang="0">
                <a:pos x="T2" y="T3"/>
              </a:cxn>
              <a:cxn ang="0">
                <a:pos x="T4" y="T5"/>
              </a:cxn>
            </a:cxnLst>
            <a:rect l="0" t="0" r="r" b="b"/>
            <a:pathLst>
              <a:path w="265" h="265">
                <a:moveTo>
                  <a:pt x="0" y="265"/>
                </a:moveTo>
                <a:lnTo>
                  <a:pt x="26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63" name="Freeform 331">
            <a:extLst>
              <a:ext uri="{FF2B5EF4-FFF2-40B4-BE49-F238E27FC236}">
                <a16:creationId xmlns:a16="http://schemas.microsoft.com/office/drawing/2014/main" xmlns="" id="{AD63F144-A23C-4983-9F36-172CC98F576D}"/>
              </a:ext>
            </a:extLst>
          </xdr:cNvPr>
          <xdr:cNvSpPr>
            <a:spLocks/>
          </xdr:cNvSpPr>
        </xdr:nvSpPr>
        <xdr:spPr bwMode="auto">
          <a:xfrm>
            <a:off x="1804294" y="1922467"/>
            <a:ext cx="167597" cy="168875"/>
          </a:xfrm>
          <a:custGeom>
            <a:avLst/>
            <a:gdLst>
              <a:gd name="T0" fmla="*/ 0 w 264"/>
              <a:gd name="T1" fmla="*/ 265 h 265"/>
              <a:gd name="T2" fmla="*/ 264 w 264"/>
              <a:gd name="T3" fmla="*/ 0 h 265"/>
              <a:gd name="T4" fmla="*/ 264 w 264"/>
              <a:gd name="T5" fmla="*/ 0 h 265"/>
            </a:gdLst>
            <a:ahLst/>
            <a:cxnLst>
              <a:cxn ang="0">
                <a:pos x="T0" y="T1"/>
              </a:cxn>
              <a:cxn ang="0">
                <a:pos x="T2" y="T3"/>
              </a:cxn>
              <a:cxn ang="0">
                <a:pos x="T4" y="T5"/>
              </a:cxn>
            </a:cxnLst>
            <a:rect l="0" t="0" r="r" b="b"/>
            <a:pathLst>
              <a:path w="264" h="265">
                <a:moveTo>
                  <a:pt x="0" y="265"/>
                </a:moveTo>
                <a:lnTo>
                  <a:pt x="26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64" name="Freeform 330">
            <a:extLst>
              <a:ext uri="{FF2B5EF4-FFF2-40B4-BE49-F238E27FC236}">
                <a16:creationId xmlns:a16="http://schemas.microsoft.com/office/drawing/2014/main" xmlns="" id="{E373099A-45C8-4F43-94D0-A26BE6017614}"/>
              </a:ext>
            </a:extLst>
          </xdr:cNvPr>
          <xdr:cNvSpPr>
            <a:spLocks/>
          </xdr:cNvSpPr>
        </xdr:nvSpPr>
        <xdr:spPr bwMode="auto">
          <a:xfrm>
            <a:off x="4287776" y="1703886"/>
            <a:ext cx="180294" cy="180346"/>
          </a:xfrm>
          <a:custGeom>
            <a:avLst/>
            <a:gdLst>
              <a:gd name="T0" fmla="*/ 0 w 284"/>
              <a:gd name="T1" fmla="*/ 283 h 283"/>
              <a:gd name="T2" fmla="*/ 284 w 284"/>
              <a:gd name="T3" fmla="*/ 0 h 283"/>
              <a:gd name="T4" fmla="*/ 284 w 284"/>
              <a:gd name="T5" fmla="*/ 0 h 283"/>
            </a:gdLst>
            <a:ahLst/>
            <a:cxnLst>
              <a:cxn ang="0">
                <a:pos x="T0" y="T1"/>
              </a:cxn>
              <a:cxn ang="0">
                <a:pos x="T2" y="T3"/>
              </a:cxn>
              <a:cxn ang="0">
                <a:pos x="T4" y="T5"/>
              </a:cxn>
            </a:cxnLst>
            <a:rect l="0" t="0" r="r" b="b"/>
            <a:pathLst>
              <a:path w="284" h="283">
                <a:moveTo>
                  <a:pt x="0" y="283"/>
                </a:moveTo>
                <a:lnTo>
                  <a:pt x="28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65" name="Freeform 329">
            <a:extLst>
              <a:ext uri="{FF2B5EF4-FFF2-40B4-BE49-F238E27FC236}">
                <a16:creationId xmlns:a16="http://schemas.microsoft.com/office/drawing/2014/main" xmlns="" id="{1EF72872-40E1-4018-9008-7B09F208F03F}"/>
              </a:ext>
            </a:extLst>
          </xdr:cNvPr>
          <xdr:cNvSpPr>
            <a:spLocks/>
          </xdr:cNvSpPr>
        </xdr:nvSpPr>
        <xdr:spPr bwMode="auto">
          <a:xfrm>
            <a:off x="4287776" y="1720455"/>
            <a:ext cx="180294" cy="180983"/>
          </a:xfrm>
          <a:custGeom>
            <a:avLst/>
            <a:gdLst>
              <a:gd name="T0" fmla="*/ 284 w 284"/>
              <a:gd name="T1" fmla="*/ 0 h 284"/>
              <a:gd name="T2" fmla="*/ 0 w 284"/>
              <a:gd name="T3" fmla="*/ 284 h 284"/>
              <a:gd name="T4" fmla="*/ 0 w 284"/>
              <a:gd name="T5" fmla="*/ 284 h 284"/>
            </a:gdLst>
            <a:ahLst/>
            <a:cxnLst>
              <a:cxn ang="0">
                <a:pos x="T0" y="T1"/>
              </a:cxn>
              <a:cxn ang="0">
                <a:pos x="T2" y="T3"/>
              </a:cxn>
              <a:cxn ang="0">
                <a:pos x="T4" y="T5"/>
              </a:cxn>
            </a:cxnLst>
            <a:rect l="0" t="0" r="r" b="b"/>
            <a:pathLst>
              <a:path w="284" h="284">
                <a:moveTo>
                  <a:pt x="284" y="0"/>
                </a:moveTo>
                <a:lnTo>
                  <a:pt x="0" y="284"/>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66" name="Freeform 328">
            <a:extLst>
              <a:ext uri="{FF2B5EF4-FFF2-40B4-BE49-F238E27FC236}">
                <a16:creationId xmlns:a16="http://schemas.microsoft.com/office/drawing/2014/main" xmlns="" id="{F114ECB5-53C9-4A9C-8165-7CDDCDFB2D20}"/>
              </a:ext>
            </a:extLst>
          </xdr:cNvPr>
          <xdr:cNvSpPr>
            <a:spLocks/>
          </xdr:cNvSpPr>
        </xdr:nvSpPr>
        <xdr:spPr bwMode="auto">
          <a:xfrm>
            <a:off x="4287776" y="1738298"/>
            <a:ext cx="180294" cy="180346"/>
          </a:xfrm>
          <a:custGeom>
            <a:avLst/>
            <a:gdLst>
              <a:gd name="T0" fmla="*/ 0 w 284"/>
              <a:gd name="T1" fmla="*/ 283 h 283"/>
              <a:gd name="T2" fmla="*/ 284 w 284"/>
              <a:gd name="T3" fmla="*/ 0 h 283"/>
              <a:gd name="T4" fmla="*/ 284 w 284"/>
              <a:gd name="T5" fmla="*/ 0 h 283"/>
            </a:gdLst>
            <a:ahLst/>
            <a:cxnLst>
              <a:cxn ang="0">
                <a:pos x="T0" y="T1"/>
              </a:cxn>
              <a:cxn ang="0">
                <a:pos x="T2" y="T3"/>
              </a:cxn>
              <a:cxn ang="0">
                <a:pos x="T4" y="T5"/>
              </a:cxn>
            </a:cxnLst>
            <a:rect l="0" t="0" r="r" b="b"/>
            <a:pathLst>
              <a:path w="284" h="283">
                <a:moveTo>
                  <a:pt x="0" y="283"/>
                </a:moveTo>
                <a:lnTo>
                  <a:pt x="28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67" name="Freeform 327">
            <a:extLst>
              <a:ext uri="{FF2B5EF4-FFF2-40B4-BE49-F238E27FC236}">
                <a16:creationId xmlns:a16="http://schemas.microsoft.com/office/drawing/2014/main" xmlns="" id="{628F9EAC-47D0-4866-9E31-7E8D3221056C}"/>
              </a:ext>
            </a:extLst>
          </xdr:cNvPr>
          <xdr:cNvSpPr>
            <a:spLocks/>
          </xdr:cNvSpPr>
        </xdr:nvSpPr>
        <xdr:spPr bwMode="auto">
          <a:xfrm>
            <a:off x="1683040" y="1922467"/>
            <a:ext cx="2785030" cy="637"/>
          </a:xfrm>
          <a:custGeom>
            <a:avLst/>
            <a:gdLst>
              <a:gd name="T0" fmla="*/ 4387 w 4387"/>
              <a:gd name="T1" fmla="*/ 0 w 4387"/>
              <a:gd name="T2" fmla="*/ 0 w 4387"/>
            </a:gdLst>
            <a:ahLst/>
            <a:cxnLst>
              <a:cxn ang="0">
                <a:pos x="T0" y="0"/>
              </a:cxn>
              <a:cxn ang="0">
                <a:pos x="T1" y="0"/>
              </a:cxn>
              <a:cxn ang="0">
                <a:pos x="T2" y="0"/>
              </a:cxn>
            </a:cxnLst>
            <a:rect l="0" t="0" r="r" b="b"/>
            <a:pathLst>
              <a:path w="4387">
                <a:moveTo>
                  <a:pt x="4387" y="0"/>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68" name="Freeform 326">
            <a:extLst>
              <a:ext uri="{FF2B5EF4-FFF2-40B4-BE49-F238E27FC236}">
                <a16:creationId xmlns:a16="http://schemas.microsoft.com/office/drawing/2014/main" xmlns="" id="{25FB073B-6822-43CE-962E-50F653883EBB}"/>
              </a:ext>
            </a:extLst>
          </xdr:cNvPr>
          <xdr:cNvSpPr>
            <a:spLocks/>
          </xdr:cNvSpPr>
        </xdr:nvSpPr>
        <xdr:spPr bwMode="auto">
          <a:xfrm>
            <a:off x="2856219" y="1922467"/>
            <a:ext cx="168232" cy="168875"/>
          </a:xfrm>
          <a:custGeom>
            <a:avLst/>
            <a:gdLst>
              <a:gd name="T0" fmla="*/ 0 w 265"/>
              <a:gd name="T1" fmla="*/ 265 h 265"/>
              <a:gd name="T2" fmla="*/ 265 w 265"/>
              <a:gd name="T3" fmla="*/ 0 h 265"/>
              <a:gd name="T4" fmla="*/ 265 w 265"/>
              <a:gd name="T5" fmla="*/ 0 h 265"/>
            </a:gdLst>
            <a:ahLst/>
            <a:cxnLst>
              <a:cxn ang="0">
                <a:pos x="T0" y="T1"/>
              </a:cxn>
              <a:cxn ang="0">
                <a:pos x="T2" y="T3"/>
              </a:cxn>
              <a:cxn ang="0">
                <a:pos x="T4" y="T5"/>
              </a:cxn>
            </a:cxnLst>
            <a:rect l="0" t="0" r="r" b="b"/>
            <a:pathLst>
              <a:path w="265" h="265">
                <a:moveTo>
                  <a:pt x="0" y="265"/>
                </a:moveTo>
                <a:lnTo>
                  <a:pt x="26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69" name="Freeform 325">
            <a:extLst>
              <a:ext uri="{FF2B5EF4-FFF2-40B4-BE49-F238E27FC236}">
                <a16:creationId xmlns:a16="http://schemas.microsoft.com/office/drawing/2014/main" xmlns="" id="{B41E4876-3C22-40FF-99F2-DE7F3F6AFA95}"/>
              </a:ext>
            </a:extLst>
          </xdr:cNvPr>
          <xdr:cNvSpPr>
            <a:spLocks/>
          </xdr:cNvSpPr>
        </xdr:nvSpPr>
        <xdr:spPr bwMode="auto">
          <a:xfrm>
            <a:off x="2873359" y="1922467"/>
            <a:ext cx="167597" cy="168875"/>
          </a:xfrm>
          <a:custGeom>
            <a:avLst/>
            <a:gdLst>
              <a:gd name="T0" fmla="*/ 264 w 264"/>
              <a:gd name="T1" fmla="*/ 0 h 265"/>
              <a:gd name="T2" fmla="*/ 0 w 264"/>
              <a:gd name="T3" fmla="*/ 265 h 265"/>
              <a:gd name="T4" fmla="*/ 0 w 264"/>
              <a:gd name="T5" fmla="*/ 265 h 265"/>
            </a:gdLst>
            <a:ahLst/>
            <a:cxnLst>
              <a:cxn ang="0">
                <a:pos x="T0" y="T1"/>
              </a:cxn>
              <a:cxn ang="0">
                <a:pos x="T2" y="T3"/>
              </a:cxn>
              <a:cxn ang="0">
                <a:pos x="T4" y="T5"/>
              </a:cxn>
            </a:cxnLst>
            <a:rect l="0" t="0" r="r" b="b"/>
            <a:pathLst>
              <a:path w="264" h="265">
                <a:moveTo>
                  <a:pt x="264" y="0"/>
                </a:moveTo>
                <a:lnTo>
                  <a:pt x="0" y="265"/>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70" name="Freeform 324">
            <a:extLst>
              <a:ext uri="{FF2B5EF4-FFF2-40B4-BE49-F238E27FC236}">
                <a16:creationId xmlns:a16="http://schemas.microsoft.com/office/drawing/2014/main" xmlns="" id="{E1D77D20-D69E-491A-B390-BBD59B9D997F}"/>
              </a:ext>
            </a:extLst>
          </xdr:cNvPr>
          <xdr:cNvSpPr>
            <a:spLocks/>
          </xdr:cNvSpPr>
        </xdr:nvSpPr>
        <xdr:spPr bwMode="auto">
          <a:xfrm>
            <a:off x="1683040" y="1417755"/>
            <a:ext cx="185372" cy="184806"/>
          </a:xfrm>
          <a:custGeom>
            <a:avLst/>
            <a:gdLst>
              <a:gd name="T0" fmla="*/ 0 w 292"/>
              <a:gd name="T1" fmla="*/ 290 h 290"/>
              <a:gd name="T2" fmla="*/ 292 w 292"/>
              <a:gd name="T3" fmla="*/ 0 h 290"/>
              <a:gd name="T4" fmla="*/ 292 w 292"/>
              <a:gd name="T5" fmla="*/ 0 h 290"/>
            </a:gdLst>
            <a:ahLst/>
            <a:cxnLst>
              <a:cxn ang="0">
                <a:pos x="T0" y="T1"/>
              </a:cxn>
              <a:cxn ang="0">
                <a:pos x="T2" y="T3"/>
              </a:cxn>
              <a:cxn ang="0">
                <a:pos x="T4" y="T5"/>
              </a:cxn>
            </a:cxnLst>
            <a:rect l="0" t="0" r="r" b="b"/>
            <a:pathLst>
              <a:path w="292" h="290">
                <a:moveTo>
                  <a:pt x="0" y="290"/>
                </a:moveTo>
                <a:lnTo>
                  <a:pt x="292"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71" name="Freeform 323">
            <a:extLst>
              <a:ext uri="{FF2B5EF4-FFF2-40B4-BE49-F238E27FC236}">
                <a16:creationId xmlns:a16="http://schemas.microsoft.com/office/drawing/2014/main" xmlns="" id="{273D3F14-DD37-4F0F-8BF0-E36CB5B59041}"/>
              </a:ext>
            </a:extLst>
          </xdr:cNvPr>
          <xdr:cNvSpPr>
            <a:spLocks/>
          </xdr:cNvSpPr>
        </xdr:nvSpPr>
        <xdr:spPr bwMode="auto">
          <a:xfrm>
            <a:off x="1683040" y="1417755"/>
            <a:ext cx="202513" cy="201375"/>
          </a:xfrm>
          <a:custGeom>
            <a:avLst/>
            <a:gdLst>
              <a:gd name="T0" fmla="*/ 319 w 319"/>
              <a:gd name="T1" fmla="*/ 0 h 316"/>
              <a:gd name="T2" fmla="*/ 0 w 319"/>
              <a:gd name="T3" fmla="*/ 316 h 316"/>
              <a:gd name="T4" fmla="*/ 0 w 319"/>
              <a:gd name="T5" fmla="*/ 316 h 316"/>
            </a:gdLst>
            <a:ahLst/>
            <a:cxnLst>
              <a:cxn ang="0">
                <a:pos x="T0" y="T1"/>
              </a:cxn>
              <a:cxn ang="0">
                <a:pos x="T2" y="T3"/>
              </a:cxn>
              <a:cxn ang="0">
                <a:pos x="T4" y="T5"/>
              </a:cxn>
            </a:cxnLst>
            <a:rect l="0" t="0" r="r" b="b"/>
            <a:pathLst>
              <a:path w="319" h="316">
                <a:moveTo>
                  <a:pt x="319" y="0"/>
                </a:moveTo>
                <a:lnTo>
                  <a:pt x="0" y="316"/>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72" name="Freeform 322">
            <a:extLst>
              <a:ext uri="{FF2B5EF4-FFF2-40B4-BE49-F238E27FC236}">
                <a16:creationId xmlns:a16="http://schemas.microsoft.com/office/drawing/2014/main" xmlns="" id="{B749D962-EE52-467B-AA7E-F5FF143628A9}"/>
              </a:ext>
            </a:extLst>
          </xdr:cNvPr>
          <xdr:cNvSpPr>
            <a:spLocks/>
          </xdr:cNvSpPr>
        </xdr:nvSpPr>
        <xdr:spPr bwMode="auto">
          <a:xfrm>
            <a:off x="1683040" y="1417755"/>
            <a:ext cx="219654" cy="218581"/>
          </a:xfrm>
          <a:custGeom>
            <a:avLst/>
            <a:gdLst>
              <a:gd name="T0" fmla="*/ 0 w 346"/>
              <a:gd name="T1" fmla="*/ 343 h 343"/>
              <a:gd name="T2" fmla="*/ 346 w 346"/>
              <a:gd name="T3" fmla="*/ 0 h 343"/>
              <a:gd name="T4" fmla="*/ 346 w 346"/>
              <a:gd name="T5" fmla="*/ 0 h 343"/>
            </a:gdLst>
            <a:ahLst/>
            <a:cxnLst>
              <a:cxn ang="0">
                <a:pos x="T0" y="T1"/>
              </a:cxn>
              <a:cxn ang="0">
                <a:pos x="T2" y="T3"/>
              </a:cxn>
              <a:cxn ang="0">
                <a:pos x="T4" y="T5"/>
              </a:cxn>
            </a:cxnLst>
            <a:rect l="0" t="0" r="r" b="b"/>
            <a:pathLst>
              <a:path w="346" h="343">
                <a:moveTo>
                  <a:pt x="0" y="343"/>
                </a:moveTo>
                <a:lnTo>
                  <a:pt x="34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73" name="Freeform 321">
            <a:extLst>
              <a:ext uri="{FF2B5EF4-FFF2-40B4-BE49-F238E27FC236}">
                <a16:creationId xmlns:a16="http://schemas.microsoft.com/office/drawing/2014/main" xmlns="" id="{46A8AC97-D797-479B-A5D5-8F685AF87CD7}"/>
              </a:ext>
            </a:extLst>
          </xdr:cNvPr>
          <xdr:cNvSpPr>
            <a:spLocks/>
          </xdr:cNvSpPr>
        </xdr:nvSpPr>
        <xdr:spPr bwMode="auto">
          <a:xfrm>
            <a:off x="3095552" y="1761877"/>
            <a:ext cx="160614" cy="160590"/>
          </a:xfrm>
          <a:custGeom>
            <a:avLst/>
            <a:gdLst>
              <a:gd name="T0" fmla="*/ 0 w 253"/>
              <a:gd name="T1" fmla="*/ 252 h 252"/>
              <a:gd name="T2" fmla="*/ 253 w 253"/>
              <a:gd name="T3" fmla="*/ 0 h 252"/>
              <a:gd name="T4" fmla="*/ 253 w 253"/>
              <a:gd name="T5" fmla="*/ 0 h 252"/>
            </a:gdLst>
            <a:ahLst/>
            <a:cxnLst>
              <a:cxn ang="0">
                <a:pos x="T0" y="T1"/>
              </a:cxn>
              <a:cxn ang="0">
                <a:pos x="T2" y="T3"/>
              </a:cxn>
              <a:cxn ang="0">
                <a:pos x="T4" y="T5"/>
              </a:cxn>
            </a:cxnLst>
            <a:rect l="0" t="0" r="r" b="b"/>
            <a:pathLst>
              <a:path w="253" h="252">
                <a:moveTo>
                  <a:pt x="0" y="252"/>
                </a:moveTo>
                <a:lnTo>
                  <a:pt x="25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74" name="Freeform 320">
            <a:extLst>
              <a:ext uri="{FF2B5EF4-FFF2-40B4-BE49-F238E27FC236}">
                <a16:creationId xmlns:a16="http://schemas.microsoft.com/office/drawing/2014/main" xmlns="" id="{6AB7B5D8-4FCE-489D-91AB-12B14BC0EBCD}"/>
              </a:ext>
            </a:extLst>
          </xdr:cNvPr>
          <xdr:cNvSpPr>
            <a:spLocks/>
          </xdr:cNvSpPr>
        </xdr:nvSpPr>
        <xdr:spPr bwMode="auto">
          <a:xfrm>
            <a:off x="3112693" y="1779083"/>
            <a:ext cx="143473" cy="143384"/>
          </a:xfrm>
          <a:custGeom>
            <a:avLst/>
            <a:gdLst>
              <a:gd name="T0" fmla="*/ 226 w 226"/>
              <a:gd name="T1" fmla="*/ 0 h 225"/>
              <a:gd name="T2" fmla="*/ 0 w 226"/>
              <a:gd name="T3" fmla="*/ 225 h 225"/>
              <a:gd name="T4" fmla="*/ 0 w 226"/>
              <a:gd name="T5" fmla="*/ 225 h 225"/>
            </a:gdLst>
            <a:ahLst/>
            <a:cxnLst>
              <a:cxn ang="0">
                <a:pos x="T0" y="T1"/>
              </a:cxn>
              <a:cxn ang="0">
                <a:pos x="T2" y="T3"/>
              </a:cxn>
              <a:cxn ang="0">
                <a:pos x="T4" y="T5"/>
              </a:cxn>
            </a:cxnLst>
            <a:rect l="0" t="0" r="r" b="b"/>
            <a:pathLst>
              <a:path w="226" h="225">
                <a:moveTo>
                  <a:pt x="226" y="0"/>
                </a:moveTo>
                <a:lnTo>
                  <a:pt x="0" y="225"/>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75" name="Freeform 319">
            <a:extLst>
              <a:ext uri="{FF2B5EF4-FFF2-40B4-BE49-F238E27FC236}">
                <a16:creationId xmlns:a16="http://schemas.microsoft.com/office/drawing/2014/main" xmlns="" id="{5A23987F-1B3F-4553-AEE2-2763089D7B41}"/>
              </a:ext>
            </a:extLst>
          </xdr:cNvPr>
          <xdr:cNvSpPr>
            <a:spLocks/>
          </xdr:cNvSpPr>
        </xdr:nvSpPr>
        <xdr:spPr bwMode="auto">
          <a:xfrm>
            <a:off x="3129199" y="1795652"/>
            <a:ext cx="126967" cy="126815"/>
          </a:xfrm>
          <a:custGeom>
            <a:avLst/>
            <a:gdLst>
              <a:gd name="T0" fmla="*/ 0 w 200"/>
              <a:gd name="T1" fmla="*/ 199 h 199"/>
              <a:gd name="T2" fmla="*/ 200 w 200"/>
              <a:gd name="T3" fmla="*/ 0 h 199"/>
              <a:gd name="T4" fmla="*/ 200 w 200"/>
              <a:gd name="T5" fmla="*/ 0 h 199"/>
            </a:gdLst>
            <a:ahLst/>
            <a:cxnLst>
              <a:cxn ang="0">
                <a:pos x="T0" y="T1"/>
              </a:cxn>
              <a:cxn ang="0">
                <a:pos x="T2" y="T3"/>
              </a:cxn>
              <a:cxn ang="0">
                <a:pos x="T4" y="T5"/>
              </a:cxn>
            </a:cxnLst>
            <a:rect l="0" t="0" r="r" b="b"/>
            <a:pathLst>
              <a:path w="200" h="199">
                <a:moveTo>
                  <a:pt x="0" y="199"/>
                </a:moveTo>
                <a:lnTo>
                  <a:pt x="20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76" name="Freeform 318">
            <a:extLst>
              <a:ext uri="{FF2B5EF4-FFF2-40B4-BE49-F238E27FC236}">
                <a16:creationId xmlns:a16="http://schemas.microsoft.com/office/drawing/2014/main" xmlns="" id="{EA10EFE5-6F7C-4B12-84E9-4FAC3A24FAD0}"/>
              </a:ext>
            </a:extLst>
          </xdr:cNvPr>
          <xdr:cNvSpPr>
            <a:spLocks/>
          </xdr:cNvSpPr>
        </xdr:nvSpPr>
        <xdr:spPr bwMode="auto">
          <a:xfrm>
            <a:off x="4450930" y="2073499"/>
            <a:ext cx="17775" cy="17843"/>
          </a:xfrm>
          <a:custGeom>
            <a:avLst/>
            <a:gdLst>
              <a:gd name="T0" fmla="*/ 0 w 28"/>
              <a:gd name="T1" fmla="*/ 28 h 28"/>
              <a:gd name="T2" fmla="*/ 28 w 28"/>
              <a:gd name="T3" fmla="*/ 0 h 28"/>
              <a:gd name="T4" fmla="*/ 28 w 28"/>
              <a:gd name="T5" fmla="*/ 0 h 28"/>
            </a:gdLst>
            <a:ahLst/>
            <a:cxnLst>
              <a:cxn ang="0">
                <a:pos x="T0" y="T1"/>
              </a:cxn>
              <a:cxn ang="0">
                <a:pos x="T2" y="T3"/>
              </a:cxn>
              <a:cxn ang="0">
                <a:pos x="T4" y="T5"/>
              </a:cxn>
            </a:cxnLst>
            <a:rect l="0" t="0" r="r" b="b"/>
            <a:pathLst>
              <a:path w="28" h="28">
                <a:moveTo>
                  <a:pt x="0" y="28"/>
                </a:moveTo>
                <a:lnTo>
                  <a:pt x="28"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77" name="Freeform 317">
            <a:extLst>
              <a:ext uri="{FF2B5EF4-FFF2-40B4-BE49-F238E27FC236}">
                <a16:creationId xmlns:a16="http://schemas.microsoft.com/office/drawing/2014/main" xmlns="" id="{36905060-961F-401D-8279-8B7E34E24A57}"/>
              </a:ext>
            </a:extLst>
          </xdr:cNvPr>
          <xdr:cNvSpPr>
            <a:spLocks/>
          </xdr:cNvSpPr>
        </xdr:nvSpPr>
        <xdr:spPr bwMode="auto">
          <a:xfrm>
            <a:off x="4434424" y="2056293"/>
            <a:ext cx="34281" cy="35050"/>
          </a:xfrm>
          <a:custGeom>
            <a:avLst/>
            <a:gdLst>
              <a:gd name="T0" fmla="*/ 0 w 54"/>
              <a:gd name="T1" fmla="*/ 55 h 55"/>
              <a:gd name="T2" fmla="*/ 54 w 54"/>
              <a:gd name="T3" fmla="*/ 0 h 55"/>
              <a:gd name="T4" fmla="*/ 54 w 54"/>
              <a:gd name="T5" fmla="*/ 0 h 55"/>
            </a:gdLst>
            <a:ahLst/>
            <a:cxnLst>
              <a:cxn ang="0">
                <a:pos x="T0" y="T1"/>
              </a:cxn>
              <a:cxn ang="0">
                <a:pos x="T2" y="T3"/>
              </a:cxn>
              <a:cxn ang="0">
                <a:pos x="T4" y="T5"/>
              </a:cxn>
            </a:cxnLst>
            <a:rect l="0" t="0" r="r" b="b"/>
            <a:pathLst>
              <a:path w="54" h="55">
                <a:moveTo>
                  <a:pt x="0" y="55"/>
                </a:moveTo>
                <a:lnTo>
                  <a:pt x="5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78" name="Freeform 316">
            <a:extLst>
              <a:ext uri="{FF2B5EF4-FFF2-40B4-BE49-F238E27FC236}">
                <a16:creationId xmlns:a16="http://schemas.microsoft.com/office/drawing/2014/main" xmlns="" id="{34510373-F46F-4E18-8024-472C33B0357C}"/>
              </a:ext>
            </a:extLst>
          </xdr:cNvPr>
          <xdr:cNvSpPr>
            <a:spLocks/>
          </xdr:cNvSpPr>
        </xdr:nvSpPr>
        <xdr:spPr bwMode="auto">
          <a:xfrm>
            <a:off x="3256166" y="1682219"/>
            <a:ext cx="1031610" cy="637"/>
          </a:xfrm>
          <a:custGeom>
            <a:avLst/>
            <a:gdLst>
              <a:gd name="T0" fmla="*/ 0 w 1625"/>
              <a:gd name="T1" fmla="*/ 1625 w 1625"/>
              <a:gd name="T2" fmla="*/ 1625 w 1625"/>
            </a:gdLst>
            <a:ahLst/>
            <a:cxnLst>
              <a:cxn ang="0">
                <a:pos x="T0" y="0"/>
              </a:cxn>
              <a:cxn ang="0">
                <a:pos x="T1" y="0"/>
              </a:cxn>
              <a:cxn ang="0">
                <a:pos x="T2" y="0"/>
              </a:cxn>
            </a:cxnLst>
            <a:rect l="0" t="0" r="r" b="b"/>
            <a:pathLst>
              <a:path w="1625">
                <a:moveTo>
                  <a:pt x="0" y="0"/>
                </a:moveTo>
                <a:lnTo>
                  <a:pt x="162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79" name="Freeform 315">
            <a:extLst>
              <a:ext uri="{FF2B5EF4-FFF2-40B4-BE49-F238E27FC236}">
                <a16:creationId xmlns:a16="http://schemas.microsoft.com/office/drawing/2014/main" xmlns="" id="{3E0314CE-14D1-4CC3-A20A-7B43E597E0CA}"/>
              </a:ext>
            </a:extLst>
          </xdr:cNvPr>
          <xdr:cNvSpPr>
            <a:spLocks/>
          </xdr:cNvSpPr>
        </xdr:nvSpPr>
        <xdr:spPr bwMode="auto">
          <a:xfrm>
            <a:off x="1864603" y="1682219"/>
            <a:ext cx="1030975" cy="637"/>
          </a:xfrm>
          <a:custGeom>
            <a:avLst/>
            <a:gdLst>
              <a:gd name="T0" fmla="*/ 0 w 1624"/>
              <a:gd name="T1" fmla="*/ 1624 w 1624"/>
              <a:gd name="T2" fmla="*/ 1624 w 1624"/>
            </a:gdLst>
            <a:ahLst/>
            <a:cxnLst>
              <a:cxn ang="0">
                <a:pos x="T0" y="0"/>
              </a:cxn>
              <a:cxn ang="0">
                <a:pos x="T1" y="0"/>
              </a:cxn>
              <a:cxn ang="0">
                <a:pos x="T2" y="0"/>
              </a:cxn>
            </a:cxnLst>
            <a:rect l="0" t="0" r="r" b="b"/>
            <a:pathLst>
              <a:path w="1624">
                <a:moveTo>
                  <a:pt x="0" y="0"/>
                </a:moveTo>
                <a:lnTo>
                  <a:pt x="162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0" name="Freeform 314">
            <a:extLst>
              <a:ext uri="{FF2B5EF4-FFF2-40B4-BE49-F238E27FC236}">
                <a16:creationId xmlns:a16="http://schemas.microsoft.com/office/drawing/2014/main" xmlns="" id="{5DFA822F-E5B0-4CCF-A21B-57A049BAB60A}"/>
              </a:ext>
            </a:extLst>
          </xdr:cNvPr>
          <xdr:cNvSpPr>
            <a:spLocks/>
          </xdr:cNvSpPr>
        </xdr:nvSpPr>
        <xdr:spPr bwMode="auto">
          <a:xfrm>
            <a:off x="3369802" y="1417755"/>
            <a:ext cx="263457" cy="264464"/>
          </a:xfrm>
          <a:custGeom>
            <a:avLst/>
            <a:gdLst>
              <a:gd name="T0" fmla="*/ 0 w 415"/>
              <a:gd name="T1" fmla="*/ 415 h 415"/>
              <a:gd name="T2" fmla="*/ 415 w 415"/>
              <a:gd name="T3" fmla="*/ 0 h 415"/>
              <a:gd name="T4" fmla="*/ 415 w 415"/>
              <a:gd name="T5" fmla="*/ 0 h 415"/>
            </a:gdLst>
            <a:ahLst/>
            <a:cxnLst>
              <a:cxn ang="0">
                <a:pos x="T0" y="T1"/>
              </a:cxn>
              <a:cxn ang="0">
                <a:pos x="T2" y="T3"/>
              </a:cxn>
              <a:cxn ang="0">
                <a:pos x="T4" y="T5"/>
              </a:cxn>
            </a:cxnLst>
            <a:rect l="0" t="0" r="r" b="b"/>
            <a:pathLst>
              <a:path w="415" h="415">
                <a:moveTo>
                  <a:pt x="0" y="415"/>
                </a:moveTo>
                <a:lnTo>
                  <a:pt x="41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1" name="Freeform 313">
            <a:extLst>
              <a:ext uri="{FF2B5EF4-FFF2-40B4-BE49-F238E27FC236}">
                <a16:creationId xmlns:a16="http://schemas.microsoft.com/office/drawing/2014/main" xmlns="" id="{BA3D3CF3-F8D3-4249-A4E2-9841C36A893B}"/>
              </a:ext>
            </a:extLst>
          </xdr:cNvPr>
          <xdr:cNvSpPr>
            <a:spLocks/>
          </xdr:cNvSpPr>
        </xdr:nvSpPr>
        <xdr:spPr bwMode="auto">
          <a:xfrm>
            <a:off x="3335521" y="1417755"/>
            <a:ext cx="264092" cy="264464"/>
          </a:xfrm>
          <a:custGeom>
            <a:avLst/>
            <a:gdLst>
              <a:gd name="T0" fmla="*/ 0 w 416"/>
              <a:gd name="T1" fmla="*/ 415 h 415"/>
              <a:gd name="T2" fmla="*/ 416 w 416"/>
              <a:gd name="T3" fmla="*/ 0 h 415"/>
              <a:gd name="T4" fmla="*/ 416 w 416"/>
              <a:gd name="T5" fmla="*/ 0 h 415"/>
            </a:gdLst>
            <a:ahLst/>
            <a:cxnLst>
              <a:cxn ang="0">
                <a:pos x="T0" y="T1"/>
              </a:cxn>
              <a:cxn ang="0">
                <a:pos x="T2" y="T3"/>
              </a:cxn>
              <a:cxn ang="0">
                <a:pos x="T4" y="T5"/>
              </a:cxn>
            </a:cxnLst>
            <a:rect l="0" t="0" r="r" b="b"/>
            <a:pathLst>
              <a:path w="416" h="415">
                <a:moveTo>
                  <a:pt x="0" y="415"/>
                </a:moveTo>
                <a:lnTo>
                  <a:pt x="41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2" name="Freeform 312">
            <a:extLst>
              <a:ext uri="{FF2B5EF4-FFF2-40B4-BE49-F238E27FC236}">
                <a16:creationId xmlns:a16="http://schemas.microsoft.com/office/drawing/2014/main" xmlns="" id="{D7EEAA87-8CA9-4149-84A9-672D295AD55A}"/>
              </a:ext>
            </a:extLst>
          </xdr:cNvPr>
          <xdr:cNvSpPr>
            <a:spLocks/>
          </xdr:cNvSpPr>
        </xdr:nvSpPr>
        <xdr:spPr bwMode="auto">
          <a:xfrm>
            <a:off x="3352027" y="1417755"/>
            <a:ext cx="264727" cy="264464"/>
          </a:xfrm>
          <a:custGeom>
            <a:avLst/>
            <a:gdLst>
              <a:gd name="T0" fmla="*/ 0 w 417"/>
              <a:gd name="T1" fmla="*/ 415 h 415"/>
              <a:gd name="T2" fmla="*/ 417 w 417"/>
              <a:gd name="T3" fmla="*/ 0 h 415"/>
              <a:gd name="T4" fmla="*/ 417 w 417"/>
              <a:gd name="T5" fmla="*/ 0 h 415"/>
            </a:gdLst>
            <a:ahLst/>
            <a:cxnLst>
              <a:cxn ang="0">
                <a:pos x="T0" y="T1"/>
              </a:cxn>
              <a:cxn ang="0">
                <a:pos x="T2" y="T3"/>
              </a:cxn>
              <a:cxn ang="0">
                <a:pos x="T4" y="T5"/>
              </a:cxn>
            </a:cxnLst>
            <a:rect l="0" t="0" r="r" b="b"/>
            <a:pathLst>
              <a:path w="417" h="415">
                <a:moveTo>
                  <a:pt x="0" y="415"/>
                </a:moveTo>
                <a:lnTo>
                  <a:pt x="41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3" name="Freeform 311">
            <a:extLst>
              <a:ext uri="{FF2B5EF4-FFF2-40B4-BE49-F238E27FC236}">
                <a16:creationId xmlns:a16="http://schemas.microsoft.com/office/drawing/2014/main" xmlns="" id="{ADD19CC6-5AFB-4F4F-BBA9-D0A92D55DE50}"/>
              </a:ext>
            </a:extLst>
          </xdr:cNvPr>
          <xdr:cNvSpPr>
            <a:spLocks/>
          </xdr:cNvSpPr>
        </xdr:nvSpPr>
        <xdr:spPr bwMode="auto">
          <a:xfrm>
            <a:off x="3946234" y="1417755"/>
            <a:ext cx="264092" cy="264464"/>
          </a:xfrm>
          <a:custGeom>
            <a:avLst/>
            <a:gdLst>
              <a:gd name="T0" fmla="*/ 0 w 416"/>
              <a:gd name="T1" fmla="*/ 415 h 415"/>
              <a:gd name="T2" fmla="*/ 416 w 416"/>
              <a:gd name="T3" fmla="*/ 0 h 415"/>
              <a:gd name="T4" fmla="*/ 416 w 416"/>
              <a:gd name="T5" fmla="*/ 0 h 415"/>
            </a:gdLst>
            <a:ahLst/>
            <a:cxnLst>
              <a:cxn ang="0">
                <a:pos x="T0" y="T1"/>
              </a:cxn>
              <a:cxn ang="0">
                <a:pos x="T2" y="T3"/>
              </a:cxn>
              <a:cxn ang="0">
                <a:pos x="T4" y="T5"/>
              </a:cxn>
            </a:cxnLst>
            <a:rect l="0" t="0" r="r" b="b"/>
            <a:pathLst>
              <a:path w="416" h="415">
                <a:moveTo>
                  <a:pt x="0" y="415"/>
                </a:moveTo>
                <a:lnTo>
                  <a:pt x="41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4" name="Freeform 310">
            <a:extLst>
              <a:ext uri="{FF2B5EF4-FFF2-40B4-BE49-F238E27FC236}">
                <a16:creationId xmlns:a16="http://schemas.microsoft.com/office/drawing/2014/main" xmlns="" id="{0AEBF04A-780F-4DFA-A85C-EA8A81E6B952}"/>
              </a:ext>
            </a:extLst>
          </xdr:cNvPr>
          <xdr:cNvSpPr>
            <a:spLocks/>
          </xdr:cNvSpPr>
        </xdr:nvSpPr>
        <xdr:spPr bwMode="auto">
          <a:xfrm>
            <a:off x="3929728" y="1417755"/>
            <a:ext cx="263457" cy="264464"/>
          </a:xfrm>
          <a:custGeom>
            <a:avLst/>
            <a:gdLst>
              <a:gd name="T0" fmla="*/ 0 w 415"/>
              <a:gd name="T1" fmla="*/ 415 h 415"/>
              <a:gd name="T2" fmla="*/ 415 w 415"/>
              <a:gd name="T3" fmla="*/ 0 h 415"/>
              <a:gd name="T4" fmla="*/ 415 w 415"/>
              <a:gd name="T5" fmla="*/ 0 h 415"/>
            </a:gdLst>
            <a:ahLst/>
            <a:cxnLst>
              <a:cxn ang="0">
                <a:pos x="T0" y="T1"/>
              </a:cxn>
              <a:cxn ang="0">
                <a:pos x="T2" y="T3"/>
              </a:cxn>
              <a:cxn ang="0">
                <a:pos x="T4" y="T5"/>
              </a:cxn>
            </a:cxnLst>
            <a:rect l="0" t="0" r="r" b="b"/>
            <a:pathLst>
              <a:path w="415" h="415">
                <a:moveTo>
                  <a:pt x="0" y="415"/>
                </a:moveTo>
                <a:lnTo>
                  <a:pt x="41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5" name="Freeform 309">
            <a:extLst>
              <a:ext uri="{FF2B5EF4-FFF2-40B4-BE49-F238E27FC236}">
                <a16:creationId xmlns:a16="http://schemas.microsoft.com/office/drawing/2014/main" xmlns="" id="{958A8C02-665D-4FC9-9FCC-62EB41CCE948}"/>
              </a:ext>
            </a:extLst>
          </xdr:cNvPr>
          <xdr:cNvSpPr>
            <a:spLocks/>
          </xdr:cNvSpPr>
        </xdr:nvSpPr>
        <xdr:spPr bwMode="auto">
          <a:xfrm>
            <a:off x="3912588" y="1417755"/>
            <a:ext cx="264092" cy="264464"/>
          </a:xfrm>
          <a:custGeom>
            <a:avLst/>
            <a:gdLst>
              <a:gd name="T0" fmla="*/ 0 w 416"/>
              <a:gd name="T1" fmla="*/ 415 h 415"/>
              <a:gd name="T2" fmla="*/ 416 w 416"/>
              <a:gd name="T3" fmla="*/ 0 h 415"/>
              <a:gd name="T4" fmla="*/ 416 w 416"/>
              <a:gd name="T5" fmla="*/ 0 h 415"/>
            </a:gdLst>
            <a:ahLst/>
            <a:cxnLst>
              <a:cxn ang="0">
                <a:pos x="T0" y="T1"/>
              </a:cxn>
              <a:cxn ang="0">
                <a:pos x="T2" y="T3"/>
              </a:cxn>
              <a:cxn ang="0">
                <a:pos x="T4" y="T5"/>
              </a:cxn>
            </a:cxnLst>
            <a:rect l="0" t="0" r="r" b="b"/>
            <a:pathLst>
              <a:path w="416" h="415">
                <a:moveTo>
                  <a:pt x="0" y="415"/>
                </a:moveTo>
                <a:lnTo>
                  <a:pt x="41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6" name="Freeform 308">
            <a:extLst>
              <a:ext uri="{FF2B5EF4-FFF2-40B4-BE49-F238E27FC236}">
                <a16:creationId xmlns:a16="http://schemas.microsoft.com/office/drawing/2014/main" xmlns="" id="{761E4F87-4345-41AB-A8BC-0DC77DED8123}"/>
              </a:ext>
            </a:extLst>
          </xdr:cNvPr>
          <xdr:cNvSpPr>
            <a:spLocks/>
          </xdr:cNvSpPr>
        </xdr:nvSpPr>
        <xdr:spPr bwMode="auto">
          <a:xfrm>
            <a:off x="2792100" y="1417755"/>
            <a:ext cx="264727" cy="264464"/>
          </a:xfrm>
          <a:custGeom>
            <a:avLst/>
            <a:gdLst>
              <a:gd name="T0" fmla="*/ 0 w 417"/>
              <a:gd name="T1" fmla="*/ 415 h 415"/>
              <a:gd name="T2" fmla="*/ 417 w 417"/>
              <a:gd name="T3" fmla="*/ 0 h 415"/>
              <a:gd name="T4" fmla="*/ 417 w 417"/>
              <a:gd name="T5" fmla="*/ 0 h 415"/>
            </a:gdLst>
            <a:ahLst/>
            <a:cxnLst>
              <a:cxn ang="0">
                <a:pos x="T0" y="T1"/>
              </a:cxn>
              <a:cxn ang="0">
                <a:pos x="T2" y="T3"/>
              </a:cxn>
              <a:cxn ang="0">
                <a:pos x="T4" y="T5"/>
              </a:cxn>
            </a:cxnLst>
            <a:rect l="0" t="0" r="r" b="b"/>
            <a:pathLst>
              <a:path w="417" h="415">
                <a:moveTo>
                  <a:pt x="0" y="415"/>
                </a:moveTo>
                <a:lnTo>
                  <a:pt x="41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7" name="Freeform 307">
            <a:extLst>
              <a:ext uri="{FF2B5EF4-FFF2-40B4-BE49-F238E27FC236}">
                <a16:creationId xmlns:a16="http://schemas.microsoft.com/office/drawing/2014/main" xmlns="" id="{9204F25A-D87C-4028-8294-4235D0EE3B01}"/>
              </a:ext>
            </a:extLst>
          </xdr:cNvPr>
          <xdr:cNvSpPr>
            <a:spLocks/>
          </xdr:cNvSpPr>
        </xdr:nvSpPr>
        <xdr:spPr bwMode="auto">
          <a:xfrm>
            <a:off x="2775595" y="1417755"/>
            <a:ext cx="263457" cy="264464"/>
          </a:xfrm>
          <a:custGeom>
            <a:avLst/>
            <a:gdLst>
              <a:gd name="T0" fmla="*/ 0 w 415"/>
              <a:gd name="T1" fmla="*/ 415 h 415"/>
              <a:gd name="T2" fmla="*/ 415 w 415"/>
              <a:gd name="T3" fmla="*/ 0 h 415"/>
              <a:gd name="T4" fmla="*/ 415 w 415"/>
              <a:gd name="T5" fmla="*/ 0 h 415"/>
            </a:gdLst>
            <a:ahLst/>
            <a:cxnLst>
              <a:cxn ang="0">
                <a:pos x="T0" y="T1"/>
              </a:cxn>
              <a:cxn ang="0">
                <a:pos x="T2" y="T3"/>
              </a:cxn>
              <a:cxn ang="0">
                <a:pos x="T4" y="T5"/>
              </a:cxn>
            </a:cxnLst>
            <a:rect l="0" t="0" r="r" b="b"/>
            <a:pathLst>
              <a:path w="415" h="415">
                <a:moveTo>
                  <a:pt x="0" y="415"/>
                </a:moveTo>
                <a:lnTo>
                  <a:pt x="41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8" name="Freeform 306">
            <a:extLst>
              <a:ext uri="{FF2B5EF4-FFF2-40B4-BE49-F238E27FC236}">
                <a16:creationId xmlns:a16="http://schemas.microsoft.com/office/drawing/2014/main" xmlns="" id="{9C1A6761-9FEC-41BA-A540-6CE11A94196E}"/>
              </a:ext>
            </a:extLst>
          </xdr:cNvPr>
          <xdr:cNvSpPr>
            <a:spLocks/>
          </xdr:cNvSpPr>
        </xdr:nvSpPr>
        <xdr:spPr bwMode="auto">
          <a:xfrm>
            <a:off x="2758454" y="1417755"/>
            <a:ext cx="264092" cy="264464"/>
          </a:xfrm>
          <a:custGeom>
            <a:avLst/>
            <a:gdLst>
              <a:gd name="T0" fmla="*/ 0 w 416"/>
              <a:gd name="T1" fmla="*/ 415 h 415"/>
              <a:gd name="T2" fmla="*/ 416 w 416"/>
              <a:gd name="T3" fmla="*/ 0 h 415"/>
              <a:gd name="T4" fmla="*/ 416 w 416"/>
              <a:gd name="T5" fmla="*/ 0 h 415"/>
            </a:gdLst>
            <a:ahLst/>
            <a:cxnLst>
              <a:cxn ang="0">
                <a:pos x="T0" y="T1"/>
              </a:cxn>
              <a:cxn ang="0">
                <a:pos x="T2" y="T3"/>
              </a:cxn>
              <a:cxn ang="0">
                <a:pos x="T4" y="T5"/>
              </a:cxn>
            </a:cxnLst>
            <a:rect l="0" t="0" r="r" b="b"/>
            <a:pathLst>
              <a:path w="416" h="415">
                <a:moveTo>
                  <a:pt x="0" y="415"/>
                </a:moveTo>
                <a:lnTo>
                  <a:pt x="41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9" name="Freeform 305">
            <a:extLst>
              <a:ext uri="{FF2B5EF4-FFF2-40B4-BE49-F238E27FC236}">
                <a16:creationId xmlns:a16="http://schemas.microsoft.com/office/drawing/2014/main" xmlns="" id="{9D708FF6-138F-4044-82FB-20A380DD5979}"/>
              </a:ext>
            </a:extLst>
          </xdr:cNvPr>
          <xdr:cNvSpPr>
            <a:spLocks/>
          </xdr:cNvSpPr>
        </xdr:nvSpPr>
        <xdr:spPr bwMode="auto">
          <a:xfrm>
            <a:off x="2181387" y="1417755"/>
            <a:ext cx="264092" cy="264464"/>
          </a:xfrm>
          <a:custGeom>
            <a:avLst/>
            <a:gdLst>
              <a:gd name="T0" fmla="*/ 0 w 416"/>
              <a:gd name="T1" fmla="*/ 415 h 415"/>
              <a:gd name="T2" fmla="*/ 416 w 416"/>
              <a:gd name="T3" fmla="*/ 0 h 415"/>
              <a:gd name="T4" fmla="*/ 416 w 416"/>
              <a:gd name="T5" fmla="*/ 0 h 415"/>
            </a:gdLst>
            <a:ahLst/>
            <a:cxnLst>
              <a:cxn ang="0">
                <a:pos x="T0" y="T1"/>
              </a:cxn>
              <a:cxn ang="0">
                <a:pos x="T2" y="T3"/>
              </a:cxn>
              <a:cxn ang="0">
                <a:pos x="T4" y="T5"/>
              </a:cxn>
            </a:cxnLst>
            <a:rect l="0" t="0" r="r" b="b"/>
            <a:pathLst>
              <a:path w="416" h="415">
                <a:moveTo>
                  <a:pt x="0" y="415"/>
                </a:moveTo>
                <a:lnTo>
                  <a:pt x="41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0" name="Freeform 304">
            <a:extLst>
              <a:ext uri="{FF2B5EF4-FFF2-40B4-BE49-F238E27FC236}">
                <a16:creationId xmlns:a16="http://schemas.microsoft.com/office/drawing/2014/main" xmlns="" id="{FBD87B69-6B58-4693-B70A-AD0065553A87}"/>
              </a:ext>
            </a:extLst>
          </xdr:cNvPr>
          <xdr:cNvSpPr>
            <a:spLocks/>
          </xdr:cNvSpPr>
        </xdr:nvSpPr>
        <xdr:spPr bwMode="auto">
          <a:xfrm>
            <a:off x="2215668" y="1417755"/>
            <a:ext cx="263457" cy="264464"/>
          </a:xfrm>
          <a:custGeom>
            <a:avLst/>
            <a:gdLst>
              <a:gd name="T0" fmla="*/ 0 w 415"/>
              <a:gd name="T1" fmla="*/ 415 h 415"/>
              <a:gd name="T2" fmla="*/ 415 w 415"/>
              <a:gd name="T3" fmla="*/ 0 h 415"/>
              <a:gd name="T4" fmla="*/ 415 w 415"/>
              <a:gd name="T5" fmla="*/ 0 h 415"/>
            </a:gdLst>
            <a:ahLst/>
            <a:cxnLst>
              <a:cxn ang="0">
                <a:pos x="T0" y="T1"/>
              </a:cxn>
              <a:cxn ang="0">
                <a:pos x="T2" y="T3"/>
              </a:cxn>
              <a:cxn ang="0">
                <a:pos x="T4" y="T5"/>
              </a:cxn>
            </a:cxnLst>
            <a:rect l="0" t="0" r="r" b="b"/>
            <a:pathLst>
              <a:path w="415" h="415">
                <a:moveTo>
                  <a:pt x="0" y="415"/>
                </a:moveTo>
                <a:lnTo>
                  <a:pt x="41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1" name="Freeform 303">
            <a:extLst>
              <a:ext uri="{FF2B5EF4-FFF2-40B4-BE49-F238E27FC236}">
                <a16:creationId xmlns:a16="http://schemas.microsoft.com/office/drawing/2014/main" xmlns="" id="{A3393800-26EA-446B-8600-0BE68DBC911D}"/>
              </a:ext>
            </a:extLst>
          </xdr:cNvPr>
          <xdr:cNvSpPr>
            <a:spLocks/>
          </xdr:cNvSpPr>
        </xdr:nvSpPr>
        <xdr:spPr bwMode="auto">
          <a:xfrm>
            <a:off x="2198528" y="1417755"/>
            <a:ext cx="264092" cy="264464"/>
          </a:xfrm>
          <a:custGeom>
            <a:avLst/>
            <a:gdLst>
              <a:gd name="T0" fmla="*/ 0 w 416"/>
              <a:gd name="T1" fmla="*/ 415 h 415"/>
              <a:gd name="T2" fmla="*/ 416 w 416"/>
              <a:gd name="T3" fmla="*/ 0 h 415"/>
              <a:gd name="T4" fmla="*/ 416 w 416"/>
              <a:gd name="T5" fmla="*/ 0 h 415"/>
            </a:gdLst>
            <a:ahLst/>
            <a:cxnLst>
              <a:cxn ang="0">
                <a:pos x="T0" y="T1"/>
              </a:cxn>
              <a:cxn ang="0">
                <a:pos x="T2" y="T3"/>
              </a:cxn>
              <a:cxn ang="0">
                <a:pos x="T4" y="T5"/>
              </a:cxn>
            </a:cxnLst>
            <a:rect l="0" t="0" r="r" b="b"/>
            <a:pathLst>
              <a:path w="416" h="415">
                <a:moveTo>
                  <a:pt x="0" y="415"/>
                </a:moveTo>
                <a:lnTo>
                  <a:pt x="41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2" name="Line 50">
            <a:extLst>
              <a:ext uri="{FF2B5EF4-FFF2-40B4-BE49-F238E27FC236}">
                <a16:creationId xmlns:a16="http://schemas.microsoft.com/office/drawing/2014/main" xmlns="" id="{9976972E-3B07-4EB3-BC6A-AF3BD7570D82}"/>
              </a:ext>
            </a:extLst>
          </xdr:cNvPr>
          <xdr:cNvSpPr>
            <a:spLocks noChangeShapeType="1"/>
          </xdr:cNvSpPr>
        </xdr:nvSpPr>
        <xdr:spPr bwMode="auto">
          <a:xfrm flipH="1">
            <a:off x="3678862" y="1419785"/>
            <a:ext cx="0" cy="499282"/>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493" name="Text Box 49">
            <a:extLst>
              <a:ext uri="{FF2B5EF4-FFF2-40B4-BE49-F238E27FC236}">
                <a16:creationId xmlns:a16="http://schemas.microsoft.com/office/drawing/2014/main" xmlns="" id="{607A7630-BA17-4353-A4AA-E52A56176153}"/>
              </a:ext>
            </a:extLst>
          </xdr:cNvPr>
          <xdr:cNvSpPr txBox="1">
            <a:spLocks noChangeArrowheads="1"/>
          </xdr:cNvSpPr>
        </xdr:nvSpPr>
        <xdr:spPr bwMode="auto">
          <a:xfrm>
            <a:off x="3688396" y="1500122"/>
            <a:ext cx="177961" cy="149761"/>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hh</a:t>
            </a:r>
          </a:p>
        </xdr:txBody>
      </xdr:sp>
      <xdr:sp macro="" textlink="">
        <xdr:nvSpPr>
          <xdr:cNvPr id="494" name="Line 48">
            <a:extLst>
              <a:ext uri="{FF2B5EF4-FFF2-40B4-BE49-F238E27FC236}">
                <a16:creationId xmlns:a16="http://schemas.microsoft.com/office/drawing/2014/main" xmlns="" id="{7F24B67E-4077-454E-A203-FB3FC6178F03}"/>
              </a:ext>
            </a:extLst>
          </xdr:cNvPr>
          <xdr:cNvSpPr>
            <a:spLocks noChangeShapeType="1"/>
          </xdr:cNvSpPr>
        </xdr:nvSpPr>
        <xdr:spPr bwMode="auto">
          <a:xfrm flipH="1">
            <a:off x="3678862" y="1920336"/>
            <a:ext cx="0" cy="176413"/>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495" name="Text Box 47">
            <a:extLst>
              <a:ext uri="{FF2B5EF4-FFF2-40B4-BE49-F238E27FC236}">
                <a16:creationId xmlns:a16="http://schemas.microsoft.com/office/drawing/2014/main" xmlns="" id="{19ACE7FA-07A5-495F-B1B5-E0285AFB9B9A}"/>
              </a:ext>
            </a:extLst>
          </xdr:cNvPr>
          <xdr:cNvSpPr txBox="1">
            <a:spLocks noChangeArrowheads="1"/>
          </xdr:cNvSpPr>
        </xdr:nvSpPr>
        <xdr:spPr bwMode="auto">
          <a:xfrm>
            <a:off x="3693480" y="1928586"/>
            <a:ext cx="101692" cy="149761"/>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h</a:t>
            </a:r>
          </a:p>
        </xdr:txBody>
      </xdr:sp>
      <xdr:sp macro="" textlink="">
        <xdr:nvSpPr>
          <xdr:cNvPr id="496" name="Line 46">
            <a:extLst>
              <a:ext uri="{FF2B5EF4-FFF2-40B4-BE49-F238E27FC236}">
                <a16:creationId xmlns:a16="http://schemas.microsoft.com/office/drawing/2014/main" xmlns="" id="{80998EB8-584F-4D8B-8FA0-01356A070A4C}"/>
              </a:ext>
            </a:extLst>
          </xdr:cNvPr>
          <xdr:cNvSpPr>
            <a:spLocks noChangeShapeType="1"/>
          </xdr:cNvSpPr>
        </xdr:nvSpPr>
        <xdr:spPr bwMode="auto">
          <a:xfrm flipH="1">
            <a:off x="3981396" y="1685797"/>
            <a:ext cx="0" cy="243423"/>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497" name="Text Box 45">
            <a:extLst>
              <a:ext uri="{FF2B5EF4-FFF2-40B4-BE49-F238E27FC236}">
                <a16:creationId xmlns:a16="http://schemas.microsoft.com/office/drawing/2014/main" xmlns="" id="{3D2885BE-FED7-43A5-BE39-89EEC58EA352}"/>
              </a:ext>
            </a:extLst>
          </xdr:cNvPr>
          <xdr:cNvSpPr txBox="1">
            <a:spLocks noChangeArrowheads="1"/>
          </xdr:cNvSpPr>
        </xdr:nvSpPr>
        <xdr:spPr bwMode="auto">
          <a:xfrm>
            <a:off x="4016353" y="1724507"/>
            <a:ext cx="197489" cy="149761"/>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hB</a:t>
            </a:r>
          </a:p>
        </xdr:txBody>
      </xdr:sp>
      <xdr:sp macro="" textlink="">
        <xdr:nvSpPr>
          <xdr:cNvPr id="498" name="Line 44">
            <a:extLst>
              <a:ext uri="{FF2B5EF4-FFF2-40B4-BE49-F238E27FC236}">
                <a16:creationId xmlns:a16="http://schemas.microsoft.com/office/drawing/2014/main" xmlns="" id="{2609977B-8721-4E18-B64F-A047544C92FB}"/>
              </a:ext>
            </a:extLst>
          </xdr:cNvPr>
          <xdr:cNvSpPr>
            <a:spLocks noChangeShapeType="1"/>
          </xdr:cNvSpPr>
        </xdr:nvSpPr>
        <xdr:spPr bwMode="auto">
          <a:xfrm flipH="1" flipV="1">
            <a:off x="1866088" y="1816521"/>
            <a:ext cx="1028012" cy="0"/>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499" name="Line 43">
            <a:extLst>
              <a:ext uri="{FF2B5EF4-FFF2-40B4-BE49-F238E27FC236}">
                <a16:creationId xmlns:a16="http://schemas.microsoft.com/office/drawing/2014/main" xmlns="" id="{454D4248-D41B-470A-8E0D-F21EBB60F1BD}"/>
              </a:ext>
            </a:extLst>
          </xdr:cNvPr>
          <xdr:cNvSpPr>
            <a:spLocks noChangeShapeType="1"/>
          </xdr:cNvSpPr>
        </xdr:nvSpPr>
        <xdr:spPr bwMode="auto">
          <a:xfrm flipH="1">
            <a:off x="2901726" y="1819059"/>
            <a:ext cx="358465" cy="0"/>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500" name="Text Box 42">
            <a:extLst>
              <a:ext uri="{FF2B5EF4-FFF2-40B4-BE49-F238E27FC236}">
                <a16:creationId xmlns:a16="http://schemas.microsoft.com/office/drawing/2014/main" xmlns="" id="{3F747CB4-8393-46D9-B0E2-1417994E72CC}"/>
              </a:ext>
            </a:extLst>
          </xdr:cNvPr>
          <xdr:cNvSpPr txBox="1">
            <a:spLocks noChangeArrowheads="1"/>
          </xdr:cNvSpPr>
        </xdr:nvSpPr>
        <xdr:spPr bwMode="auto">
          <a:xfrm>
            <a:off x="2332425" y="1670189"/>
            <a:ext cx="114404" cy="150774"/>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B</a:t>
            </a:r>
          </a:p>
        </xdr:txBody>
      </xdr:sp>
      <xdr:sp macro="" textlink="">
        <xdr:nvSpPr>
          <xdr:cNvPr id="501" name="Text Box 41">
            <a:extLst>
              <a:ext uri="{FF2B5EF4-FFF2-40B4-BE49-F238E27FC236}">
                <a16:creationId xmlns:a16="http://schemas.microsoft.com/office/drawing/2014/main" xmlns="" id="{EA381D30-7E5A-467D-BA40-6B11F2D79432}"/>
              </a:ext>
            </a:extLst>
          </xdr:cNvPr>
          <xdr:cNvSpPr txBox="1">
            <a:spLocks noChangeArrowheads="1"/>
          </xdr:cNvSpPr>
        </xdr:nvSpPr>
        <xdr:spPr bwMode="auto">
          <a:xfrm>
            <a:off x="2974818" y="1647344"/>
            <a:ext cx="208469" cy="150774"/>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BB</a:t>
            </a:r>
          </a:p>
        </xdr:txBody>
      </xdr:sp>
    </xdr:grpSp>
    <xdr:clientData/>
  </xdr:twoCellAnchor>
  <xdr:twoCellAnchor>
    <xdr:from>
      <xdr:col>0</xdr:col>
      <xdr:colOff>312427</xdr:colOff>
      <xdr:row>8</xdr:row>
      <xdr:rowOff>89568</xdr:rowOff>
    </xdr:from>
    <xdr:to>
      <xdr:col>4</xdr:col>
      <xdr:colOff>353052</xdr:colOff>
      <xdr:row>9</xdr:row>
      <xdr:rowOff>44355</xdr:rowOff>
    </xdr:to>
    <xdr:sp macro="" textlink="">
      <xdr:nvSpPr>
        <xdr:cNvPr id="502" name="Text Box 40">
          <a:extLst>
            <a:ext uri="{FF2B5EF4-FFF2-40B4-BE49-F238E27FC236}">
              <a16:creationId xmlns:a16="http://schemas.microsoft.com/office/drawing/2014/main" xmlns="" id="{990204B9-9A9A-4D73-973C-3FFFB07719F9}"/>
            </a:ext>
          </a:extLst>
        </xdr:cNvPr>
        <xdr:cNvSpPr txBox="1">
          <a:spLocks noChangeArrowheads="1"/>
        </xdr:cNvSpPr>
      </xdr:nvSpPr>
      <xdr:spPr bwMode="auto">
        <a:xfrm>
          <a:off x="1684027" y="2232693"/>
          <a:ext cx="2783825" cy="192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50" b="0" i="0" u="none" strike="noStrike" baseline="0">
              <a:solidFill>
                <a:srgbClr val="000000"/>
              </a:solidFill>
              <a:latin typeface="ＭＳ Ｐゴシック"/>
              <a:ea typeface="ＭＳ Ｐゴシック"/>
            </a:rPr>
            <a:t>３.穴あきPC板合成スラブ</a:t>
          </a:r>
        </a:p>
      </xdr:txBody>
    </xdr:sp>
    <xdr:clientData/>
  </xdr:twoCellAnchor>
  <xdr:twoCellAnchor>
    <xdr:from>
      <xdr:col>0</xdr:col>
      <xdr:colOff>309885</xdr:colOff>
      <xdr:row>9</xdr:row>
      <xdr:rowOff>58951</xdr:rowOff>
    </xdr:from>
    <xdr:to>
      <xdr:col>4</xdr:col>
      <xdr:colOff>358769</xdr:colOff>
      <xdr:row>11</xdr:row>
      <xdr:rowOff>217916</xdr:rowOff>
    </xdr:to>
    <xdr:grpSp>
      <xdr:nvGrpSpPr>
        <xdr:cNvPr id="503" name="グループ化 502">
          <a:extLst>
            <a:ext uri="{FF2B5EF4-FFF2-40B4-BE49-F238E27FC236}">
              <a16:creationId xmlns:a16="http://schemas.microsoft.com/office/drawing/2014/main" xmlns="" id="{EAB18F3E-7DFD-4B32-93EC-53C1A8437E6A}"/>
            </a:ext>
          </a:extLst>
        </xdr:cNvPr>
        <xdr:cNvGrpSpPr/>
      </xdr:nvGrpSpPr>
      <xdr:grpSpPr>
        <a:xfrm>
          <a:off x="309885" y="2287801"/>
          <a:ext cx="2715884" cy="654265"/>
          <a:chOff x="1679864" y="2450334"/>
          <a:chExt cx="2788841" cy="637242"/>
        </a:xfrm>
      </xdr:grpSpPr>
      <xdr:sp macro="" textlink="">
        <xdr:nvSpPr>
          <xdr:cNvPr id="504" name="Rectangle 389">
            <a:extLst>
              <a:ext uri="{FF2B5EF4-FFF2-40B4-BE49-F238E27FC236}">
                <a16:creationId xmlns:a16="http://schemas.microsoft.com/office/drawing/2014/main" xmlns="" id="{30DA4D4A-A4E5-4EC7-A884-E72601AFA62D}"/>
              </a:ext>
            </a:extLst>
          </xdr:cNvPr>
          <xdr:cNvSpPr>
            <a:spLocks noChangeArrowheads="1"/>
          </xdr:cNvSpPr>
        </xdr:nvSpPr>
        <xdr:spPr bwMode="auto">
          <a:xfrm>
            <a:off x="1679864" y="2692488"/>
            <a:ext cx="2786938" cy="360821"/>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5" name="Rectangle 388">
            <a:extLst>
              <a:ext uri="{FF2B5EF4-FFF2-40B4-BE49-F238E27FC236}">
                <a16:creationId xmlns:a16="http://schemas.microsoft.com/office/drawing/2014/main" xmlns="" id="{02CED380-8F9F-4377-B77F-F194499B93F9}"/>
              </a:ext>
            </a:extLst>
          </xdr:cNvPr>
          <xdr:cNvSpPr>
            <a:spLocks noChangeArrowheads="1"/>
          </xdr:cNvSpPr>
        </xdr:nvSpPr>
        <xdr:spPr bwMode="auto">
          <a:xfrm>
            <a:off x="1710371" y="2833364"/>
            <a:ext cx="139191" cy="7779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6" name="Rectangle 387">
            <a:extLst>
              <a:ext uri="{FF2B5EF4-FFF2-40B4-BE49-F238E27FC236}">
                <a16:creationId xmlns:a16="http://schemas.microsoft.com/office/drawing/2014/main" xmlns="" id="{6C7787F6-7C54-4DB8-B474-5673AE4FB33E}"/>
              </a:ext>
            </a:extLst>
          </xdr:cNvPr>
          <xdr:cNvSpPr>
            <a:spLocks noChangeArrowheads="1"/>
          </xdr:cNvSpPr>
        </xdr:nvSpPr>
        <xdr:spPr bwMode="auto">
          <a:xfrm>
            <a:off x="1922654" y="2831461"/>
            <a:ext cx="144736" cy="7779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7" name="Rectangle 386">
            <a:extLst>
              <a:ext uri="{FF2B5EF4-FFF2-40B4-BE49-F238E27FC236}">
                <a16:creationId xmlns:a16="http://schemas.microsoft.com/office/drawing/2014/main" xmlns="" id="{D887C2AB-3968-4461-B3D2-3D4910EE64B3}"/>
              </a:ext>
            </a:extLst>
          </xdr:cNvPr>
          <xdr:cNvSpPr>
            <a:spLocks noChangeArrowheads="1"/>
          </xdr:cNvSpPr>
        </xdr:nvSpPr>
        <xdr:spPr bwMode="auto">
          <a:xfrm>
            <a:off x="2139846" y="2829557"/>
            <a:ext cx="145547" cy="7779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8" name="Rectangle 385">
            <a:extLst>
              <a:ext uri="{FF2B5EF4-FFF2-40B4-BE49-F238E27FC236}">
                <a16:creationId xmlns:a16="http://schemas.microsoft.com/office/drawing/2014/main" xmlns="" id="{F1A7FBEC-A87A-41E6-9AFF-6081B722CE97}"/>
              </a:ext>
            </a:extLst>
          </xdr:cNvPr>
          <xdr:cNvSpPr>
            <a:spLocks noChangeArrowheads="1"/>
          </xdr:cNvSpPr>
        </xdr:nvSpPr>
        <xdr:spPr bwMode="auto">
          <a:xfrm>
            <a:off x="2355306" y="2832730"/>
            <a:ext cx="145547" cy="7779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9" name="Rectangle 384">
            <a:extLst>
              <a:ext uri="{FF2B5EF4-FFF2-40B4-BE49-F238E27FC236}">
                <a16:creationId xmlns:a16="http://schemas.microsoft.com/office/drawing/2014/main" xmlns="" id="{9683B477-50B2-475A-9227-58D2D307FD98}"/>
              </a:ext>
            </a:extLst>
          </xdr:cNvPr>
          <xdr:cNvSpPr>
            <a:spLocks noChangeArrowheads="1"/>
          </xdr:cNvSpPr>
        </xdr:nvSpPr>
        <xdr:spPr bwMode="auto">
          <a:xfrm>
            <a:off x="2571402" y="2833999"/>
            <a:ext cx="145547" cy="7779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0" name="Rectangle 383">
            <a:extLst>
              <a:ext uri="{FF2B5EF4-FFF2-40B4-BE49-F238E27FC236}">
                <a16:creationId xmlns:a16="http://schemas.microsoft.com/office/drawing/2014/main" xmlns="" id="{290D78FA-F721-4940-AF95-F3B60B7BA722}"/>
              </a:ext>
            </a:extLst>
          </xdr:cNvPr>
          <xdr:cNvSpPr>
            <a:spLocks noChangeArrowheads="1"/>
          </xdr:cNvSpPr>
        </xdr:nvSpPr>
        <xdr:spPr bwMode="auto">
          <a:xfrm>
            <a:off x="2786051" y="2832730"/>
            <a:ext cx="145547" cy="7779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1" name="Rectangle 382">
            <a:extLst>
              <a:ext uri="{FF2B5EF4-FFF2-40B4-BE49-F238E27FC236}">
                <a16:creationId xmlns:a16="http://schemas.microsoft.com/office/drawing/2014/main" xmlns="" id="{A7EE8D9B-ABED-4760-ABC9-DDD9869A4BCA}"/>
              </a:ext>
            </a:extLst>
          </xdr:cNvPr>
          <xdr:cNvSpPr>
            <a:spLocks noChangeArrowheads="1"/>
          </xdr:cNvSpPr>
        </xdr:nvSpPr>
        <xdr:spPr bwMode="auto">
          <a:xfrm>
            <a:off x="3000876" y="2830826"/>
            <a:ext cx="145547" cy="7779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2" name="Rectangle 381">
            <a:extLst>
              <a:ext uri="{FF2B5EF4-FFF2-40B4-BE49-F238E27FC236}">
                <a16:creationId xmlns:a16="http://schemas.microsoft.com/office/drawing/2014/main" xmlns="" id="{C87E68E4-F897-4C29-AB38-2891BB31BF38}"/>
              </a:ext>
            </a:extLst>
          </xdr:cNvPr>
          <xdr:cNvSpPr>
            <a:spLocks noChangeArrowheads="1"/>
          </xdr:cNvSpPr>
        </xdr:nvSpPr>
        <xdr:spPr bwMode="auto">
          <a:xfrm>
            <a:off x="3217608" y="2832730"/>
            <a:ext cx="145547" cy="7779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3" name="Rectangle 380">
            <a:extLst>
              <a:ext uri="{FF2B5EF4-FFF2-40B4-BE49-F238E27FC236}">
                <a16:creationId xmlns:a16="http://schemas.microsoft.com/office/drawing/2014/main" xmlns="" id="{410EB231-D869-421D-905D-5CF74EA2562E}"/>
              </a:ext>
            </a:extLst>
          </xdr:cNvPr>
          <xdr:cNvSpPr>
            <a:spLocks noChangeArrowheads="1"/>
          </xdr:cNvSpPr>
        </xdr:nvSpPr>
        <xdr:spPr bwMode="auto">
          <a:xfrm>
            <a:off x="3434165" y="2834634"/>
            <a:ext cx="144276" cy="7779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4" name="Rectangle 379">
            <a:extLst>
              <a:ext uri="{FF2B5EF4-FFF2-40B4-BE49-F238E27FC236}">
                <a16:creationId xmlns:a16="http://schemas.microsoft.com/office/drawing/2014/main" xmlns="" id="{4E5CB590-7593-49A7-891B-5A05B839D22E}"/>
              </a:ext>
            </a:extLst>
          </xdr:cNvPr>
          <xdr:cNvSpPr>
            <a:spLocks noChangeArrowheads="1"/>
          </xdr:cNvSpPr>
        </xdr:nvSpPr>
        <xdr:spPr bwMode="auto">
          <a:xfrm>
            <a:off x="3652168" y="2832730"/>
            <a:ext cx="145547" cy="7779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5" name="Rectangle 378">
            <a:extLst>
              <a:ext uri="{FF2B5EF4-FFF2-40B4-BE49-F238E27FC236}">
                <a16:creationId xmlns:a16="http://schemas.microsoft.com/office/drawing/2014/main" xmlns="" id="{79A9F0E4-A955-4FF8-B74E-B0D8B689A470}"/>
              </a:ext>
            </a:extLst>
          </xdr:cNvPr>
          <xdr:cNvSpPr>
            <a:spLocks noChangeArrowheads="1"/>
          </xdr:cNvSpPr>
        </xdr:nvSpPr>
        <xdr:spPr bwMode="auto">
          <a:xfrm>
            <a:off x="3866993" y="2837172"/>
            <a:ext cx="144276" cy="7779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6" name="Rectangle 377">
            <a:extLst>
              <a:ext uri="{FF2B5EF4-FFF2-40B4-BE49-F238E27FC236}">
                <a16:creationId xmlns:a16="http://schemas.microsoft.com/office/drawing/2014/main" xmlns="" id="{D670FEB0-6300-4DD4-9101-8F50BA76816B}"/>
              </a:ext>
            </a:extLst>
          </xdr:cNvPr>
          <xdr:cNvSpPr>
            <a:spLocks noChangeArrowheads="1"/>
          </xdr:cNvSpPr>
        </xdr:nvSpPr>
        <xdr:spPr bwMode="auto">
          <a:xfrm>
            <a:off x="4080546" y="2832730"/>
            <a:ext cx="143465" cy="7779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7" name="Rectangle 376">
            <a:extLst>
              <a:ext uri="{FF2B5EF4-FFF2-40B4-BE49-F238E27FC236}">
                <a16:creationId xmlns:a16="http://schemas.microsoft.com/office/drawing/2014/main" xmlns="" id="{D0E380CC-37A0-47C2-8F38-5B6B072E34DD}"/>
              </a:ext>
            </a:extLst>
          </xdr:cNvPr>
          <xdr:cNvSpPr>
            <a:spLocks noChangeArrowheads="1"/>
          </xdr:cNvSpPr>
        </xdr:nvSpPr>
        <xdr:spPr bwMode="auto">
          <a:xfrm>
            <a:off x="4300916" y="2833999"/>
            <a:ext cx="144276" cy="7779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8" name="Rectangle 375">
            <a:extLst>
              <a:ext uri="{FF2B5EF4-FFF2-40B4-BE49-F238E27FC236}">
                <a16:creationId xmlns:a16="http://schemas.microsoft.com/office/drawing/2014/main" xmlns="" id="{4E542739-48B2-4121-8FB7-920CA5A8600D}"/>
              </a:ext>
            </a:extLst>
          </xdr:cNvPr>
          <xdr:cNvSpPr>
            <a:spLocks noChangeArrowheads="1"/>
          </xdr:cNvSpPr>
        </xdr:nvSpPr>
        <xdr:spPr bwMode="auto">
          <a:xfrm>
            <a:off x="1681770" y="2452872"/>
            <a:ext cx="2784395" cy="238981"/>
          </a:xfrm>
          <a:prstGeom prst="rect">
            <a:avLst/>
          </a:prstGeom>
          <a:solidFill>
            <a:srgbClr val="96969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9" name="Freeform 302">
            <a:extLst>
              <a:ext uri="{FF2B5EF4-FFF2-40B4-BE49-F238E27FC236}">
                <a16:creationId xmlns:a16="http://schemas.microsoft.com/office/drawing/2014/main" xmlns="" id="{F4C25A84-A4E6-4AF3-81C3-34FDBA8A89E3}"/>
              </a:ext>
            </a:extLst>
          </xdr:cNvPr>
          <xdr:cNvSpPr>
            <a:spLocks/>
          </xdr:cNvSpPr>
        </xdr:nvSpPr>
        <xdr:spPr bwMode="auto">
          <a:xfrm>
            <a:off x="1684310" y="2452033"/>
            <a:ext cx="2784395" cy="637"/>
          </a:xfrm>
          <a:custGeom>
            <a:avLst/>
            <a:gdLst>
              <a:gd name="T0" fmla="*/ 0 w 4386"/>
              <a:gd name="T1" fmla="*/ 4386 w 4386"/>
              <a:gd name="T2" fmla="*/ 4386 w 4386"/>
            </a:gdLst>
            <a:ahLst/>
            <a:cxnLst>
              <a:cxn ang="0">
                <a:pos x="T0" y="0"/>
              </a:cxn>
              <a:cxn ang="0">
                <a:pos x="T1" y="0"/>
              </a:cxn>
              <a:cxn ang="0">
                <a:pos x="T2" y="0"/>
              </a:cxn>
            </a:cxnLst>
            <a:rect l="0" t="0" r="r" b="b"/>
            <a:pathLst>
              <a:path w="4386">
                <a:moveTo>
                  <a:pt x="0" y="0"/>
                </a:moveTo>
                <a:lnTo>
                  <a:pt x="438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 name="Freeform 301">
            <a:extLst>
              <a:ext uri="{FF2B5EF4-FFF2-40B4-BE49-F238E27FC236}">
                <a16:creationId xmlns:a16="http://schemas.microsoft.com/office/drawing/2014/main" xmlns="" id="{AD57854A-5510-4997-A8CA-22F63156F9AE}"/>
              </a:ext>
            </a:extLst>
          </xdr:cNvPr>
          <xdr:cNvSpPr>
            <a:spLocks/>
          </xdr:cNvSpPr>
        </xdr:nvSpPr>
        <xdr:spPr bwMode="auto">
          <a:xfrm>
            <a:off x="3854183" y="2452033"/>
            <a:ext cx="239968" cy="240886"/>
          </a:xfrm>
          <a:custGeom>
            <a:avLst/>
            <a:gdLst>
              <a:gd name="T0" fmla="*/ 0 w 378"/>
              <a:gd name="T1" fmla="*/ 378 h 378"/>
              <a:gd name="T2" fmla="*/ 378 w 378"/>
              <a:gd name="T3" fmla="*/ 0 h 378"/>
              <a:gd name="T4" fmla="*/ 378 w 378"/>
              <a:gd name="T5" fmla="*/ 0 h 378"/>
            </a:gdLst>
            <a:ahLst/>
            <a:cxnLst>
              <a:cxn ang="0">
                <a:pos x="T0" y="T1"/>
              </a:cxn>
              <a:cxn ang="0">
                <a:pos x="T2" y="T3"/>
              </a:cxn>
              <a:cxn ang="0">
                <a:pos x="T4" y="T5"/>
              </a:cxn>
            </a:cxnLst>
            <a:rect l="0" t="0" r="r" b="b"/>
            <a:pathLst>
              <a:path w="378" h="378">
                <a:moveTo>
                  <a:pt x="0" y="378"/>
                </a:moveTo>
                <a:lnTo>
                  <a:pt x="378"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1" name="Freeform 300">
            <a:extLst>
              <a:ext uri="{FF2B5EF4-FFF2-40B4-BE49-F238E27FC236}">
                <a16:creationId xmlns:a16="http://schemas.microsoft.com/office/drawing/2014/main" xmlns="" id="{C0353034-B6A4-46DC-AE12-4B26FBA91690}"/>
              </a:ext>
            </a:extLst>
          </xdr:cNvPr>
          <xdr:cNvSpPr>
            <a:spLocks/>
          </xdr:cNvSpPr>
        </xdr:nvSpPr>
        <xdr:spPr bwMode="auto">
          <a:xfrm>
            <a:off x="3837042" y="2452033"/>
            <a:ext cx="240603" cy="240886"/>
          </a:xfrm>
          <a:custGeom>
            <a:avLst/>
            <a:gdLst>
              <a:gd name="T0" fmla="*/ 0 w 379"/>
              <a:gd name="T1" fmla="*/ 378 h 378"/>
              <a:gd name="T2" fmla="*/ 379 w 379"/>
              <a:gd name="T3" fmla="*/ 0 h 378"/>
              <a:gd name="T4" fmla="*/ 379 w 379"/>
              <a:gd name="T5" fmla="*/ 0 h 378"/>
            </a:gdLst>
            <a:ahLst/>
            <a:cxnLst>
              <a:cxn ang="0">
                <a:pos x="T0" y="T1"/>
              </a:cxn>
              <a:cxn ang="0">
                <a:pos x="T2" y="T3"/>
              </a:cxn>
              <a:cxn ang="0">
                <a:pos x="T4" y="T5"/>
              </a:cxn>
            </a:cxnLst>
            <a:rect l="0" t="0" r="r" b="b"/>
            <a:pathLst>
              <a:path w="379" h="378">
                <a:moveTo>
                  <a:pt x="0" y="378"/>
                </a:moveTo>
                <a:lnTo>
                  <a:pt x="379"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2" name="Freeform 299">
            <a:extLst>
              <a:ext uri="{FF2B5EF4-FFF2-40B4-BE49-F238E27FC236}">
                <a16:creationId xmlns:a16="http://schemas.microsoft.com/office/drawing/2014/main" xmlns="" id="{2EE84085-A9A9-481C-AA69-75898D83F298}"/>
              </a:ext>
            </a:extLst>
          </xdr:cNvPr>
          <xdr:cNvSpPr>
            <a:spLocks/>
          </xdr:cNvSpPr>
        </xdr:nvSpPr>
        <xdr:spPr bwMode="auto">
          <a:xfrm>
            <a:off x="3327903" y="2452033"/>
            <a:ext cx="240603" cy="240886"/>
          </a:xfrm>
          <a:custGeom>
            <a:avLst/>
            <a:gdLst>
              <a:gd name="T0" fmla="*/ 0 w 379"/>
              <a:gd name="T1" fmla="*/ 378 h 378"/>
              <a:gd name="T2" fmla="*/ 379 w 379"/>
              <a:gd name="T3" fmla="*/ 0 h 378"/>
              <a:gd name="T4" fmla="*/ 379 w 379"/>
              <a:gd name="T5" fmla="*/ 0 h 378"/>
            </a:gdLst>
            <a:ahLst/>
            <a:cxnLst>
              <a:cxn ang="0">
                <a:pos x="T0" y="T1"/>
              </a:cxn>
              <a:cxn ang="0">
                <a:pos x="T2" y="T3"/>
              </a:cxn>
              <a:cxn ang="0">
                <a:pos x="T4" y="T5"/>
              </a:cxn>
            </a:cxnLst>
            <a:rect l="0" t="0" r="r" b="b"/>
            <a:pathLst>
              <a:path w="379" h="378">
                <a:moveTo>
                  <a:pt x="0" y="378"/>
                </a:moveTo>
                <a:lnTo>
                  <a:pt x="379"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 name="Freeform 298">
            <a:extLst>
              <a:ext uri="{FF2B5EF4-FFF2-40B4-BE49-F238E27FC236}">
                <a16:creationId xmlns:a16="http://schemas.microsoft.com/office/drawing/2014/main" xmlns="" id="{C2960E58-1E06-402E-9196-16CF9386C699}"/>
              </a:ext>
            </a:extLst>
          </xdr:cNvPr>
          <xdr:cNvSpPr>
            <a:spLocks/>
          </xdr:cNvSpPr>
        </xdr:nvSpPr>
        <xdr:spPr bwMode="auto">
          <a:xfrm>
            <a:off x="3311397" y="2452033"/>
            <a:ext cx="239968" cy="240886"/>
          </a:xfrm>
          <a:custGeom>
            <a:avLst/>
            <a:gdLst>
              <a:gd name="T0" fmla="*/ 0 w 378"/>
              <a:gd name="T1" fmla="*/ 378 h 378"/>
              <a:gd name="T2" fmla="*/ 378 w 378"/>
              <a:gd name="T3" fmla="*/ 0 h 378"/>
              <a:gd name="T4" fmla="*/ 378 w 378"/>
              <a:gd name="T5" fmla="*/ 0 h 378"/>
            </a:gdLst>
            <a:ahLst/>
            <a:cxnLst>
              <a:cxn ang="0">
                <a:pos x="T0" y="T1"/>
              </a:cxn>
              <a:cxn ang="0">
                <a:pos x="T2" y="T3"/>
              </a:cxn>
              <a:cxn ang="0">
                <a:pos x="T4" y="T5"/>
              </a:cxn>
            </a:cxnLst>
            <a:rect l="0" t="0" r="r" b="b"/>
            <a:pathLst>
              <a:path w="378" h="378">
                <a:moveTo>
                  <a:pt x="0" y="378"/>
                </a:moveTo>
                <a:lnTo>
                  <a:pt x="378"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 name="Freeform 297">
            <a:extLst>
              <a:ext uri="{FF2B5EF4-FFF2-40B4-BE49-F238E27FC236}">
                <a16:creationId xmlns:a16="http://schemas.microsoft.com/office/drawing/2014/main" xmlns="" id="{F0A4DA32-BEC3-40EB-98C1-D6171FC12AC4}"/>
              </a:ext>
            </a:extLst>
          </xdr:cNvPr>
          <xdr:cNvSpPr>
            <a:spLocks/>
          </xdr:cNvSpPr>
        </xdr:nvSpPr>
        <xdr:spPr bwMode="auto">
          <a:xfrm>
            <a:off x="2802258" y="2452033"/>
            <a:ext cx="239968" cy="240886"/>
          </a:xfrm>
          <a:custGeom>
            <a:avLst/>
            <a:gdLst>
              <a:gd name="T0" fmla="*/ 378 w 378"/>
              <a:gd name="T1" fmla="*/ 0 h 378"/>
              <a:gd name="T2" fmla="*/ 0 w 378"/>
              <a:gd name="T3" fmla="*/ 378 h 378"/>
              <a:gd name="T4" fmla="*/ 0 w 378"/>
              <a:gd name="T5" fmla="*/ 378 h 378"/>
            </a:gdLst>
            <a:ahLst/>
            <a:cxnLst>
              <a:cxn ang="0">
                <a:pos x="T0" y="T1"/>
              </a:cxn>
              <a:cxn ang="0">
                <a:pos x="T2" y="T3"/>
              </a:cxn>
              <a:cxn ang="0">
                <a:pos x="T4" y="T5"/>
              </a:cxn>
            </a:cxnLst>
            <a:rect l="0" t="0" r="r" b="b"/>
            <a:pathLst>
              <a:path w="378" h="378">
                <a:moveTo>
                  <a:pt x="378" y="0"/>
                </a:moveTo>
                <a:lnTo>
                  <a:pt x="0" y="37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5" name="Freeform 296">
            <a:extLst>
              <a:ext uri="{FF2B5EF4-FFF2-40B4-BE49-F238E27FC236}">
                <a16:creationId xmlns:a16="http://schemas.microsoft.com/office/drawing/2014/main" xmlns="" id="{32085A16-1340-4D28-9153-EBCE6CBED027}"/>
              </a:ext>
            </a:extLst>
          </xdr:cNvPr>
          <xdr:cNvSpPr>
            <a:spLocks/>
          </xdr:cNvSpPr>
        </xdr:nvSpPr>
        <xdr:spPr bwMode="auto">
          <a:xfrm>
            <a:off x="2785117" y="2452033"/>
            <a:ext cx="239968" cy="240886"/>
          </a:xfrm>
          <a:custGeom>
            <a:avLst/>
            <a:gdLst>
              <a:gd name="T0" fmla="*/ 0 w 378"/>
              <a:gd name="T1" fmla="*/ 378 h 378"/>
              <a:gd name="T2" fmla="*/ 378 w 378"/>
              <a:gd name="T3" fmla="*/ 0 h 378"/>
              <a:gd name="T4" fmla="*/ 378 w 378"/>
              <a:gd name="T5" fmla="*/ 0 h 378"/>
            </a:gdLst>
            <a:ahLst/>
            <a:cxnLst>
              <a:cxn ang="0">
                <a:pos x="T0" y="T1"/>
              </a:cxn>
              <a:cxn ang="0">
                <a:pos x="T2" y="T3"/>
              </a:cxn>
              <a:cxn ang="0">
                <a:pos x="T4" y="T5"/>
              </a:cxn>
            </a:cxnLst>
            <a:rect l="0" t="0" r="r" b="b"/>
            <a:pathLst>
              <a:path w="378" h="378">
                <a:moveTo>
                  <a:pt x="0" y="378"/>
                </a:moveTo>
                <a:lnTo>
                  <a:pt x="378"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6" name="Freeform 295">
            <a:extLst>
              <a:ext uri="{FF2B5EF4-FFF2-40B4-BE49-F238E27FC236}">
                <a16:creationId xmlns:a16="http://schemas.microsoft.com/office/drawing/2014/main" xmlns="" id="{99874E30-D568-44F6-835B-5B4F0EB5BF03}"/>
              </a:ext>
            </a:extLst>
          </xdr:cNvPr>
          <xdr:cNvSpPr>
            <a:spLocks/>
          </xdr:cNvSpPr>
        </xdr:nvSpPr>
        <xdr:spPr bwMode="auto">
          <a:xfrm>
            <a:off x="2276613" y="2452033"/>
            <a:ext cx="239334" cy="240886"/>
          </a:xfrm>
          <a:custGeom>
            <a:avLst/>
            <a:gdLst>
              <a:gd name="T0" fmla="*/ 0 w 377"/>
              <a:gd name="T1" fmla="*/ 378 h 378"/>
              <a:gd name="T2" fmla="*/ 377 w 377"/>
              <a:gd name="T3" fmla="*/ 0 h 378"/>
              <a:gd name="T4" fmla="*/ 377 w 377"/>
              <a:gd name="T5" fmla="*/ 0 h 378"/>
            </a:gdLst>
            <a:ahLst/>
            <a:cxnLst>
              <a:cxn ang="0">
                <a:pos x="T0" y="T1"/>
              </a:cxn>
              <a:cxn ang="0">
                <a:pos x="T2" y="T3"/>
              </a:cxn>
              <a:cxn ang="0">
                <a:pos x="T4" y="T5"/>
              </a:cxn>
            </a:cxnLst>
            <a:rect l="0" t="0" r="r" b="b"/>
            <a:pathLst>
              <a:path w="377" h="378">
                <a:moveTo>
                  <a:pt x="0" y="378"/>
                </a:moveTo>
                <a:lnTo>
                  <a:pt x="37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7" name="Freeform 294">
            <a:extLst>
              <a:ext uri="{FF2B5EF4-FFF2-40B4-BE49-F238E27FC236}">
                <a16:creationId xmlns:a16="http://schemas.microsoft.com/office/drawing/2014/main" xmlns="" id="{CA812731-8924-4D46-8ED3-47B8DEC53AC4}"/>
              </a:ext>
            </a:extLst>
          </xdr:cNvPr>
          <xdr:cNvSpPr>
            <a:spLocks/>
          </xdr:cNvSpPr>
        </xdr:nvSpPr>
        <xdr:spPr bwMode="auto">
          <a:xfrm>
            <a:off x="2259472" y="2452033"/>
            <a:ext cx="239968" cy="240886"/>
          </a:xfrm>
          <a:custGeom>
            <a:avLst/>
            <a:gdLst>
              <a:gd name="T0" fmla="*/ 0 w 378"/>
              <a:gd name="T1" fmla="*/ 378 h 378"/>
              <a:gd name="T2" fmla="*/ 378 w 378"/>
              <a:gd name="T3" fmla="*/ 0 h 378"/>
              <a:gd name="T4" fmla="*/ 378 w 378"/>
              <a:gd name="T5" fmla="*/ 0 h 378"/>
            </a:gdLst>
            <a:ahLst/>
            <a:cxnLst>
              <a:cxn ang="0">
                <a:pos x="T0" y="T1"/>
              </a:cxn>
              <a:cxn ang="0">
                <a:pos x="T2" y="T3"/>
              </a:cxn>
              <a:cxn ang="0">
                <a:pos x="T4" y="T5"/>
              </a:cxn>
            </a:cxnLst>
            <a:rect l="0" t="0" r="r" b="b"/>
            <a:pathLst>
              <a:path w="378" h="378">
                <a:moveTo>
                  <a:pt x="0" y="378"/>
                </a:moveTo>
                <a:lnTo>
                  <a:pt x="378"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8" name="Freeform 293">
            <a:extLst>
              <a:ext uri="{FF2B5EF4-FFF2-40B4-BE49-F238E27FC236}">
                <a16:creationId xmlns:a16="http://schemas.microsoft.com/office/drawing/2014/main" xmlns="" id="{269BE350-9771-43A9-BC0F-56CDDDA2E620}"/>
              </a:ext>
            </a:extLst>
          </xdr:cNvPr>
          <xdr:cNvSpPr>
            <a:spLocks/>
          </xdr:cNvSpPr>
        </xdr:nvSpPr>
        <xdr:spPr bwMode="auto">
          <a:xfrm>
            <a:off x="1750333" y="2452033"/>
            <a:ext cx="239968" cy="240886"/>
          </a:xfrm>
          <a:custGeom>
            <a:avLst/>
            <a:gdLst>
              <a:gd name="T0" fmla="*/ 0 w 378"/>
              <a:gd name="T1" fmla="*/ 378 h 378"/>
              <a:gd name="T2" fmla="*/ 378 w 378"/>
              <a:gd name="T3" fmla="*/ 0 h 378"/>
              <a:gd name="T4" fmla="*/ 378 w 378"/>
              <a:gd name="T5" fmla="*/ 0 h 378"/>
            </a:gdLst>
            <a:ahLst/>
            <a:cxnLst>
              <a:cxn ang="0">
                <a:pos x="T0" y="T1"/>
              </a:cxn>
              <a:cxn ang="0">
                <a:pos x="T2" y="T3"/>
              </a:cxn>
              <a:cxn ang="0">
                <a:pos x="T4" y="T5"/>
              </a:cxn>
            </a:cxnLst>
            <a:rect l="0" t="0" r="r" b="b"/>
            <a:pathLst>
              <a:path w="378" h="378">
                <a:moveTo>
                  <a:pt x="0" y="378"/>
                </a:moveTo>
                <a:lnTo>
                  <a:pt x="378"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9" name="Freeform 292">
            <a:extLst>
              <a:ext uri="{FF2B5EF4-FFF2-40B4-BE49-F238E27FC236}">
                <a16:creationId xmlns:a16="http://schemas.microsoft.com/office/drawing/2014/main" xmlns="" id="{C40E1D92-F47F-4B50-81D5-CB870057C02F}"/>
              </a:ext>
            </a:extLst>
          </xdr:cNvPr>
          <xdr:cNvSpPr>
            <a:spLocks/>
          </xdr:cNvSpPr>
        </xdr:nvSpPr>
        <xdr:spPr bwMode="auto">
          <a:xfrm>
            <a:off x="1733192" y="2452033"/>
            <a:ext cx="239968" cy="240886"/>
          </a:xfrm>
          <a:custGeom>
            <a:avLst/>
            <a:gdLst>
              <a:gd name="T0" fmla="*/ 0 w 378"/>
              <a:gd name="T1" fmla="*/ 378 h 378"/>
              <a:gd name="T2" fmla="*/ 378 w 378"/>
              <a:gd name="T3" fmla="*/ 0 h 378"/>
              <a:gd name="T4" fmla="*/ 378 w 378"/>
              <a:gd name="T5" fmla="*/ 0 h 378"/>
            </a:gdLst>
            <a:ahLst/>
            <a:cxnLst>
              <a:cxn ang="0">
                <a:pos x="T0" y="T1"/>
              </a:cxn>
              <a:cxn ang="0">
                <a:pos x="T2" y="T3"/>
              </a:cxn>
              <a:cxn ang="0">
                <a:pos x="T4" y="T5"/>
              </a:cxn>
            </a:cxnLst>
            <a:rect l="0" t="0" r="r" b="b"/>
            <a:pathLst>
              <a:path w="378" h="378">
                <a:moveTo>
                  <a:pt x="0" y="378"/>
                </a:moveTo>
                <a:lnTo>
                  <a:pt x="378"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0" name="Freeform 291">
            <a:extLst>
              <a:ext uri="{FF2B5EF4-FFF2-40B4-BE49-F238E27FC236}">
                <a16:creationId xmlns:a16="http://schemas.microsoft.com/office/drawing/2014/main" xmlns="" id="{9C497046-2A9C-48ED-8C75-1AED8B5787C9}"/>
              </a:ext>
            </a:extLst>
          </xdr:cNvPr>
          <xdr:cNvSpPr>
            <a:spLocks/>
          </xdr:cNvSpPr>
        </xdr:nvSpPr>
        <xdr:spPr bwMode="auto">
          <a:xfrm>
            <a:off x="1684310" y="2692919"/>
            <a:ext cx="2784395" cy="637"/>
          </a:xfrm>
          <a:custGeom>
            <a:avLst/>
            <a:gdLst>
              <a:gd name="T0" fmla="*/ 4386 w 4386"/>
              <a:gd name="T1" fmla="*/ 0 w 4386"/>
              <a:gd name="T2" fmla="*/ 0 w 4386"/>
            </a:gdLst>
            <a:ahLst/>
            <a:cxnLst>
              <a:cxn ang="0">
                <a:pos x="T0" y="0"/>
              </a:cxn>
              <a:cxn ang="0">
                <a:pos x="T1" y="0"/>
              </a:cxn>
              <a:cxn ang="0">
                <a:pos x="T2" y="0"/>
              </a:cxn>
            </a:cxnLst>
            <a:rect l="0" t="0" r="r" b="b"/>
            <a:pathLst>
              <a:path w="4386">
                <a:moveTo>
                  <a:pt x="4386" y="0"/>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1" name="Freeform 290">
            <a:extLst>
              <a:ext uri="{FF2B5EF4-FFF2-40B4-BE49-F238E27FC236}">
                <a16:creationId xmlns:a16="http://schemas.microsoft.com/office/drawing/2014/main" xmlns="" id="{2310DD7A-B056-4A0A-8533-1017003AB38C}"/>
              </a:ext>
            </a:extLst>
          </xdr:cNvPr>
          <xdr:cNvSpPr>
            <a:spLocks/>
          </xdr:cNvSpPr>
        </xdr:nvSpPr>
        <xdr:spPr bwMode="auto">
          <a:xfrm>
            <a:off x="1684310" y="3053610"/>
            <a:ext cx="2784395" cy="637"/>
          </a:xfrm>
          <a:custGeom>
            <a:avLst/>
            <a:gdLst>
              <a:gd name="T0" fmla="*/ 0 w 4386"/>
              <a:gd name="T1" fmla="*/ 4386 w 4386"/>
              <a:gd name="T2" fmla="*/ 4386 w 4386"/>
            </a:gdLst>
            <a:ahLst/>
            <a:cxnLst>
              <a:cxn ang="0">
                <a:pos x="T0" y="0"/>
              </a:cxn>
              <a:cxn ang="0">
                <a:pos x="T1" y="0"/>
              </a:cxn>
              <a:cxn ang="0">
                <a:pos x="T2" y="0"/>
              </a:cxn>
            </a:cxnLst>
            <a:rect l="0" t="0" r="r" b="b"/>
            <a:pathLst>
              <a:path w="4386">
                <a:moveTo>
                  <a:pt x="0" y="0"/>
                </a:moveTo>
                <a:lnTo>
                  <a:pt x="438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2" name="Arc 289">
            <a:extLst>
              <a:ext uri="{FF2B5EF4-FFF2-40B4-BE49-F238E27FC236}">
                <a16:creationId xmlns:a16="http://schemas.microsoft.com/office/drawing/2014/main" xmlns="" id="{48D9D054-5CB0-495C-86CC-AD7CC9178CDD}"/>
              </a:ext>
            </a:extLst>
          </xdr:cNvPr>
          <xdr:cNvSpPr>
            <a:spLocks/>
          </xdr:cNvSpPr>
        </xdr:nvSpPr>
        <xdr:spPr bwMode="auto">
          <a:xfrm>
            <a:off x="3004136" y="2764930"/>
            <a:ext cx="71737" cy="71374"/>
          </a:xfrm>
          <a:custGeom>
            <a:avLst/>
            <a:gdLst>
              <a:gd name="G0" fmla="+- 21600 0 0"/>
              <a:gd name="G1" fmla="+- 21600 0 0"/>
              <a:gd name="G2" fmla="+- 21600 0 0"/>
              <a:gd name="T0" fmla="*/ 1 w 21790"/>
              <a:gd name="T1" fmla="*/ 21794 h 21794"/>
              <a:gd name="T2" fmla="*/ 21790 w 21790"/>
              <a:gd name="T3" fmla="*/ 1 h 21794"/>
              <a:gd name="T4" fmla="*/ 21600 w 21790"/>
              <a:gd name="T5" fmla="*/ 21600 h 21794"/>
            </a:gdLst>
            <a:ahLst/>
            <a:cxnLst>
              <a:cxn ang="0">
                <a:pos x="T0" y="T1"/>
              </a:cxn>
              <a:cxn ang="0">
                <a:pos x="T2" y="T3"/>
              </a:cxn>
              <a:cxn ang="0">
                <a:pos x="T4" y="T5"/>
              </a:cxn>
            </a:cxnLst>
            <a:rect l="0" t="0" r="r" b="b"/>
            <a:pathLst>
              <a:path w="21790" h="21794" fill="none" extrusionOk="0">
                <a:moveTo>
                  <a:pt x="0" y="21794"/>
                </a:moveTo>
                <a:cubicBezTo>
                  <a:pt x="0" y="21729"/>
                  <a:pt x="0" y="21664"/>
                  <a:pt x="0" y="21600"/>
                </a:cubicBezTo>
                <a:cubicBezTo>
                  <a:pt x="0" y="9670"/>
                  <a:pt x="9670" y="0"/>
                  <a:pt x="21600" y="0"/>
                </a:cubicBezTo>
                <a:cubicBezTo>
                  <a:pt x="21663" y="0"/>
                  <a:pt x="21726" y="0"/>
                  <a:pt x="21790" y="0"/>
                </a:cubicBezTo>
              </a:path>
              <a:path w="21790" h="21794" stroke="0" extrusionOk="0">
                <a:moveTo>
                  <a:pt x="0" y="21794"/>
                </a:moveTo>
                <a:cubicBezTo>
                  <a:pt x="0" y="21729"/>
                  <a:pt x="0" y="21664"/>
                  <a:pt x="0" y="21600"/>
                </a:cubicBezTo>
                <a:cubicBezTo>
                  <a:pt x="0" y="9670"/>
                  <a:pt x="9670" y="0"/>
                  <a:pt x="21600" y="0"/>
                </a:cubicBezTo>
                <a:cubicBezTo>
                  <a:pt x="21663" y="0"/>
                  <a:pt x="21726" y="0"/>
                  <a:pt x="21790" y="0"/>
                </a:cubicBezTo>
                <a:lnTo>
                  <a:pt x="21600" y="21600"/>
                </a:lnTo>
                <a:close/>
              </a:path>
            </a:pathLst>
          </a:custGeom>
          <a:solidFill>
            <a:srgbClr val="FFFFFF"/>
          </a:solidFill>
          <a:ln w="6350">
            <a:solidFill>
              <a:srgbClr val="000000"/>
            </a:solidFill>
            <a:round/>
            <a:headEnd/>
            <a:tailEnd/>
          </a:ln>
        </xdr:spPr>
      </xdr:sp>
      <xdr:sp macro="" textlink="">
        <xdr:nvSpPr>
          <xdr:cNvPr id="533" name="Freeform 288">
            <a:extLst>
              <a:ext uri="{FF2B5EF4-FFF2-40B4-BE49-F238E27FC236}">
                <a16:creationId xmlns:a16="http://schemas.microsoft.com/office/drawing/2014/main" xmlns="" id="{288F3D16-1D43-4DC8-93EA-8717AD44EEF3}"/>
              </a:ext>
            </a:extLst>
          </xdr:cNvPr>
          <xdr:cNvSpPr>
            <a:spLocks/>
          </xdr:cNvSpPr>
        </xdr:nvSpPr>
        <xdr:spPr bwMode="auto">
          <a:xfrm>
            <a:off x="3076507" y="2764930"/>
            <a:ext cx="635" cy="637"/>
          </a:xfrm>
          <a:custGeom>
            <a:avLst/>
            <a:gdLst/>
            <a:ahLst/>
            <a:cxnLst>
              <a:cxn ang="0">
                <a:pos x="0" y="0"/>
              </a:cxn>
              <a:cxn ang="0">
                <a:pos x="0" y="0"/>
              </a:cxn>
              <a:cxn ang="0">
                <a:pos x="0" y="0"/>
              </a:cxn>
            </a:cxnLst>
            <a:rect l="0" t="0" r="r" b="b"/>
            <a:pathLst>
              <a:path>
                <a:moveTo>
                  <a:pt x="0" y="0"/>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4" name="Arc 287">
            <a:extLst>
              <a:ext uri="{FF2B5EF4-FFF2-40B4-BE49-F238E27FC236}">
                <a16:creationId xmlns:a16="http://schemas.microsoft.com/office/drawing/2014/main" xmlns="" id="{C9E0926C-9FA6-46F3-AFF0-6C0E86A7C06F}"/>
              </a:ext>
            </a:extLst>
          </xdr:cNvPr>
          <xdr:cNvSpPr>
            <a:spLocks/>
          </xdr:cNvSpPr>
        </xdr:nvSpPr>
        <xdr:spPr bwMode="auto">
          <a:xfrm>
            <a:off x="3075238" y="2764930"/>
            <a:ext cx="71102" cy="71374"/>
          </a:xfrm>
          <a:custGeom>
            <a:avLst/>
            <a:gdLst>
              <a:gd name="G0" fmla="+- 0 0 0"/>
              <a:gd name="G1" fmla="+- 21599 0 0"/>
              <a:gd name="G2" fmla="+- 21600 0 0"/>
              <a:gd name="T0" fmla="*/ 190 w 21600"/>
              <a:gd name="T1" fmla="*/ 0 h 21789"/>
              <a:gd name="T2" fmla="*/ 21599 w 21600"/>
              <a:gd name="T3" fmla="*/ 21789 h 21789"/>
              <a:gd name="T4" fmla="*/ 0 w 21600"/>
              <a:gd name="T5" fmla="*/ 21599 h 21789"/>
            </a:gdLst>
            <a:ahLst/>
            <a:cxnLst>
              <a:cxn ang="0">
                <a:pos x="T0" y="T1"/>
              </a:cxn>
              <a:cxn ang="0">
                <a:pos x="T2" y="T3"/>
              </a:cxn>
              <a:cxn ang="0">
                <a:pos x="T4" y="T5"/>
              </a:cxn>
            </a:cxnLst>
            <a:rect l="0" t="0" r="r" b="b"/>
            <a:pathLst>
              <a:path w="21600" h="21789" fill="none" extrusionOk="0">
                <a:moveTo>
                  <a:pt x="190" y="-1"/>
                </a:moveTo>
                <a:cubicBezTo>
                  <a:pt x="12044" y="104"/>
                  <a:pt x="21600" y="9743"/>
                  <a:pt x="21600" y="21599"/>
                </a:cubicBezTo>
                <a:cubicBezTo>
                  <a:pt x="21600" y="21662"/>
                  <a:pt x="21599" y="21725"/>
                  <a:pt x="21599" y="21789"/>
                </a:cubicBezTo>
              </a:path>
              <a:path w="21600" h="21789" stroke="0" extrusionOk="0">
                <a:moveTo>
                  <a:pt x="190" y="-1"/>
                </a:moveTo>
                <a:cubicBezTo>
                  <a:pt x="12044" y="104"/>
                  <a:pt x="21600" y="9743"/>
                  <a:pt x="21600" y="21599"/>
                </a:cubicBezTo>
                <a:cubicBezTo>
                  <a:pt x="21600" y="21662"/>
                  <a:pt x="21599" y="21725"/>
                  <a:pt x="21599" y="21789"/>
                </a:cubicBezTo>
                <a:lnTo>
                  <a:pt x="0" y="21599"/>
                </a:lnTo>
                <a:close/>
              </a:path>
            </a:pathLst>
          </a:custGeom>
          <a:solidFill>
            <a:srgbClr val="FFFFFF"/>
          </a:solidFill>
          <a:ln w="6350">
            <a:solidFill>
              <a:srgbClr val="000000"/>
            </a:solidFill>
            <a:round/>
            <a:headEnd/>
            <a:tailEnd/>
          </a:ln>
        </xdr:spPr>
      </xdr:sp>
      <xdr:sp macro="" textlink="">
        <xdr:nvSpPr>
          <xdr:cNvPr id="535" name="Freeform 286">
            <a:extLst>
              <a:ext uri="{FF2B5EF4-FFF2-40B4-BE49-F238E27FC236}">
                <a16:creationId xmlns:a16="http://schemas.microsoft.com/office/drawing/2014/main" xmlns="" id="{4EA82828-3C32-4E8D-B965-CEC3FEBD214D}"/>
              </a:ext>
            </a:extLst>
          </xdr:cNvPr>
          <xdr:cNvSpPr>
            <a:spLocks/>
          </xdr:cNvSpPr>
        </xdr:nvSpPr>
        <xdr:spPr bwMode="auto">
          <a:xfrm>
            <a:off x="3148879"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 name="Arc 285">
            <a:extLst>
              <a:ext uri="{FF2B5EF4-FFF2-40B4-BE49-F238E27FC236}">
                <a16:creationId xmlns:a16="http://schemas.microsoft.com/office/drawing/2014/main" xmlns="" id="{F6392644-4DE8-43AD-8AA3-16CF54A56A3E}"/>
              </a:ext>
            </a:extLst>
          </xdr:cNvPr>
          <xdr:cNvSpPr>
            <a:spLocks/>
          </xdr:cNvSpPr>
        </xdr:nvSpPr>
        <xdr:spPr bwMode="auto">
          <a:xfrm>
            <a:off x="3075238" y="2908314"/>
            <a:ext cx="71102" cy="70736"/>
          </a:xfrm>
          <a:custGeom>
            <a:avLst/>
            <a:gdLst>
              <a:gd name="G0" fmla="+- 0 0 0"/>
              <a:gd name="G1" fmla="+- 0 0 0"/>
              <a:gd name="G2" fmla="+- 21600 0 0"/>
              <a:gd name="T0" fmla="*/ 21600 w 21600"/>
              <a:gd name="T1" fmla="*/ 95 h 21599"/>
              <a:gd name="T2" fmla="*/ 189 w 21600"/>
              <a:gd name="T3" fmla="*/ 21599 h 21599"/>
              <a:gd name="T4" fmla="*/ 0 w 21600"/>
              <a:gd name="T5" fmla="*/ 0 h 21599"/>
            </a:gdLst>
            <a:ahLst/>
            <a:cxnLst>
              <a:cxn ang="0">
                <a:pos x="T0" y="T1"/>
              </a:cxn>
              <a:cxn ang="0">
                <a:pos x="T2" y="T3"/>
              </a:cxn>
              <a:cxn ang="0">
                <a:pos x="T4" y="T5"/>
              </a:cxn>
            </a:cxnLst>
            <a:rect l="0" t="0" r="r" b="b"/>
            <a:pathLst>
              <a:path w="21600" h="21599" fill="none" extrusionOk="0">
                <a:moveTo>
                  <a:pt x="21599" y="94"/>
                </a:moveTo>
                <a:cubicBezTo>
                  <a:pt x="21547" y="11913"/>
                  <a:pt x="12007" y="21495"/>
                  <a:pt x="189" y="21599"/>
                </a:cubicBezTo>
              </a:path>
              <a:path w="21600" h="21599" stroke="0" extrusionOk="0">
                <a:moveTo>
                  <a:pt x="21599" y="94"/>
                </a:moveTo>
                <a:cubicBezTo>
                  <a:pt x="21547" y="11913"/>
                  <a:pt x="12007" y="21495"/>
                  <a:pt x="189" y="21599"/>
                </a:cubicBezTo>
                <a:lnTo>
                  <a:pt x="0" y="0"/>
                </a:lnTo>
                <a:close/>
              </a:path>
            </a:pathLst>
          </a:custGeom>
          <a:solidFill>
            <a:srgbClr val="FFFFFF"/>
          </a:solidFill>
          <a:ln w="6350">
            <a:solidFill>
              <a:srgbClr val="000000"/>
            </a:solidFill>
            <a:round/>
            <a:headEnd/>
            <a:tailEnd/>
          </a:ln>
        </xdr:spPr>
      </xdr:sp>
      <xdr:sp macro="" textlink="">
        <xdr:nvSpPr>
          <xdr:cNvPr id="537" name="Freeform 284">
            <a:extLst>
              <a:ext uri="{FF2B5EF4-FFF2-40B4-BE49-F238E27FC236}">
                <a16:creationId xmlns:a16="http://schemas.microsoft.com/office/drawing/2014/main" xmlns="" id="{209F1F78-1B9E-4A1F-8830-A69B8663CB56}"/>
              </a:ext>
            </a:extLst>
          </xdr:cNvPr>
          <xdr:cNvSpPr>
            <a:spLocks/>
          </xdr:cNvSpPr>
        </xdr:nvSpPr>
        <xdr:spPr bwMode="auto">
          <a:xfrm>
            <a:off x="3076507" y="2981600"/>
            <a:ext cx="635" cy="637"/>
          </a:xfrm>
          <a:custGeom>
            <a:avLst/>
            <a:gdLst/>
            <a:ahLst/>
            <a:cxnLst>
              <a:cxn ang="0">
                <a:pos x="0" y="0"/>
              </a:cxn>
              <a:cxn ang="0">
                <a:pos x="0" y="0"/>
              </a:cxn>
              <a:cxn ang="0">
                <a:pos x="0" y="0"/>
              </a:cxn>
            </a:cxnLst>
            <a:rect l="0" t="0" r="r" b="b"/>
            <a:pathLst>
              <a:path>
                <a:moveTo>
                  <a:pt x="0" y="0"/>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8" name="Freeform 283">
            <a:extLst>
              <a:ext uri="{FF2B5EF4-FFF2-40B4-BE49-F238E27FC236}">
                <a16:creationId xmlns:a16="http://schemas.microsoft.com/office/drawing/2014/main" xmlns="" id="{535A7B24-41B0-4825-9751-FA2F92CE13F2}"/>
              </a:ext>
            </a:extLst>
          </xdr:cNvPr>
          <xdr:cNvSpPr>
            <a:spLocks/>
          </xdr:cNvSpPr>
        </xdr:nvSpPr>
        <xdr:spPr bwMode="auto">
          <a:xfrm>
            <a:off x="3004136"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9" name="Arc 282">
            <a:extLst>
              <a:ext uri="{FF2B5EF4-FFF2-40B4-BE49-F238E27FC236}">
                <a16:creationId xmlns:a16="http://schemas.microsoft.com/office/drawing/2014/main" xmlns="" id="{F4FDD880-415A-45AF-AEFD-36B923515FA5}"/>
              </a:ext>
            </a:extLst>
          </xdr:cNvPr>
          <xdr:cNvSpPr>
            <a:spLocks/>
          </xdr:cNvSpPr>
        </xdr:nvSpPr>
        <xdr:spPr bwMode="auto">
          <a:xfrm>
            <a:off x="3004136" y="2908314"/>
            <a:ext cx="71737" cy="71374"/>
          </a:xfrm>
          <a:custGeom>
            <a:avLst/>
            <a:gdLst>
              <a:gd name="G0" fmla="+- 21600 0 0"/>
              <a:gd name="G1" fmla="+- 0 0 0"/>
              <a:gd name="G2" fmla="+- 21600 0 0"/>
              <a:gd name="T0" fmla="*/ 21789 w 21789"/>
              <a:gd name="T1" fmla="*/ 21599 h 21600"/>
              <a:gd name="T2" fmla="*/ 0 w 21789"/>
              <a:gd name="T3" fmla="*/ 96 h 21600"/>
              <a:gd name="T4" fmla="*/ 21600 w 21789"/>
              <a:gd name="T5" fmla="*/ 0 h 21600"/>
            </a:gdLst>
            <a:ahLst/>
            <a:cxnLst>
              <a:cxn ang="0">
                <a:pos x="T0" y="T1"/>
              </a:cxn>
              <a:cxn ang="0">
                <a:pos x="T2" y="T3"/>
              </a:cxn>
              <a:cxn ang="0">
                <a:pos x="T4" y="T5"/>
              </a:cxn>
            </a:cxnLst>
            <a:rect l="0" t="0" r="r" b="b"/>
            <a:pathLst>
              <a:path w="21789" h="21600" fill="none" extrusionOk="0">
                <a:moveTo>
                  <a:pt x="21789" y="21599"/>
                </a:moveTo>
                <a:cubicBezTo>
                  <a:pt x="21726" y="21599"/>
                  <a:pt x="21663" y="21599"/>
                  <a:pt x="21600" y="21599"/>
                </a:cubicBezTo>
                <a:cubicBezTo>
                  <a:pt x="9708" y="21599"/>
                  <a:pt x="53" y="11987"/>
                  <a:pt x="0" y="95"/>
                </a:cubicBezTo>
              </a:path>
              <a:path w="21789" h="21600" stroke="0" extrusionOk="0">
                <a:moveTo>
                  <a:pt x="21789" y="21599"/>
                </a:moveTo>
                <a:cubicBezTo>
                  <a:pt x="21726" y="21599"/>
                  <a:pt x="21663" y="21599"/>
                  <a:pt x="21600" y="21599"/>
                </a:cubicBezTo>
                <a:cubicBezTo>
                  <a:pt x="9708" y="21599"/>
                  <a:pt x="53" y="11987"/>
                  <a:pt x="0" y="95"/>
                </a:cubicBezTo>
                <a:lnTo>
                  <a:pt x="21600" y="0"/>
                </a:lnTo>
                <a:close/>
              </a:path>
            </a:pathLst>
          </a:custGeom>
          <a:solidFill>
            <a:srgbClr val="FFFFFF"/>
          </a:solidFill>
          <a:ln w="6350">
            <a:solidFill>
              <a:srgbClr val="000000"/>
            </a:solidFill>
            <a:round/>
            <a:headEnd/>
            <a:tailEnd/>
          </a:ln>
        </xdr:spPr>
      </xdr:sp>
      <xdr:sp macro="" textlink="">
        <xdr:nvSpPr>
          <xdr:cNvPr id="540" name="Freeform 281">
            <a:extLst>
              <a:ext uri="{FF2B5EF4-FFF2-40B4-BE49-F238E27FC236}">
                <a16:creationId xmlns:a16="http://schemas.microsoft.com/office/drawing/2014/main" xmlns="" id="{A93B89F2-7D6F-4D6B-A6D0-4D25C0C3DB91}"/>
              </a:ext>
            </a:extLst>
          </xdr:cNvPr>
          <xdr:cNvSpPr>
            <a:spLocks/>
          </xdr:cNvSpPr>
        </xdr:nvSpPr>
        <xdr:spPr bwMode="auto">
          <a:xfrm>
            <a:off x="3220615" y="2828656"/>
            <a:ext cx="635" cy="44608"/>
          </a:xfrm>
          <a:custGeom>
            <a:avLst/>
            <a:gdLst>
              <a:gd name="T0" fmla="*/ 70 h 70"/>
              <a:gd name="T1" fmla="*/ 0 h 70"/>
              <a:gd name="T2" fmla="*/ 0 h 70"/>
            </a:gdLst>
            <a:ahLst/>
            <a:cxnLst>
              <a:cxn ang="0">
                <a:pos x="0" y="T0"/>
              </a:cxn>
              <a:cxn ang="0">
                <a:pos x="0" y="T1"/>
              </a:cxn>
              <a:cxn ang="0">
                <a:pos x="0" y="T2"/>
              </a:cxn>
            </a:cxnLst>
            <a:rect l="0" t="0" r="r" b="b"/>
            <a:pathLst>
              <a:path h="70">
                <a:moveTo>
                  <a:pt x="0" y="70"/>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1" name="Arc 280">
            <a:extLst>
              <a:ext uri="{FF2B5EF4-FFF2-40B4-BE49-F238E27FC236}">
                <a16:creationId xmlns:a16="http://schemas.microsoft.com/office/drawing/2014/main" xmlns="" id="{0AB0AC0C-F65F-4F76-B050-1B86ADD6BDFB}"/>
              </a:ext>
            </a:extLst>
          </xdr:cNvPr>
          <xdr:cNvSpPr>
            <a:spLocks/>
          </xdr:cNvSpPr>
        </xdr:nvSpPr>
        <xdr:spPr bwMode="auto">
          <a:xfrm>
            <a:off x="3220615" y="2764930"/>
            <a:ext cx="71102" cy="71374"/>
          </a:xfrm>
          <a:custGeom>
            <a:avLst/>
            <a:gdLst>
              <a:gd name="G0" fmla="+- 21600 0 0"/>
              <a:gd name="G1" fmla="+- 21600 0 0"/>
              <a:gd name="G2" fmla="+- 21600 0 0"/>
              <a:gd name="T0" fmla="*/ 1 w 21696"/>
              <a:gd name="T1" fmla="*/ 21792 h 21792"/>
              <a:gd name="T2" fmla="*/ 21696 w 21696"/>
              <a:gd name="T3" fmla="*/ 0 h 21792"/>
              <a:gd name="T4" fmla="*/ 21600 w 21696"/>
              <a:gd name="T5" fmla="*/ 21600 h 21792"/>
            </a:gdLst>
            <a:ahLst/>
            <a:cxnLst>
              <a:cxn ang="0">
                <a:pos x="T0" y="T1"/>
              </a:cxn>
              <a:cxn ang="0">
                <a:pos x="T2" y="T3"/>
              </a:cxn>
              <a:cxn ang="0">
                <a:pos x="T4" y="T5"/>
              </a:cxn>
            </a:cxnLst>
            <a:rect l="0" t="0" r="r" b="b"/>
            <a:pathLst>
              <a:path w="21696" h="21792" fill="none" extrusionOk="0">
                <a:moveTo>
                  <a:pt x="0" y="21792"/>
                </a:moveTo>
                <a:cubicBezTo>
                  <a:pt x="0" y="21728"/>
                  <a:pt x="0" y="21664"/>
                  <a:pt x="0" y="21600"/>
                </a:cubicBezTo>
                <a:cubicBezTo>
                  <a:pt x="0" y="9670"/>
                  <a:pt x="9670" y="0"/>
                  <a:pt x="21600" y="0"/>
                </a:cubicBezTo>
                <a:cubicBezTo>
                  <a:pt x="21631" y="0"/>
                  <a:pt x="21663" y="0"/>
                  <a:pt x="21695" y="0"/>
                </a:cubicBezTo>
              </a:path>
              <a:path w="21696" h="21792" stroke="0" extrusionOk="0">
                <a:moveTo>
                  <a:pt x="0" y="21792"/>
                </a:moveTo>
                <a:cubicBezTo>
                  <a:pt x="0" y="21728"/>
                  <a:pt x="0" y="21664"/>
                  <a:pt x="0" y="21600"/>
                </a:cubicBezTo>
                <a:cubicBezTo>
                  <a:pt x="0" y="9670"/>
                  <a:pt x="9670" y="0"/>
                  <a:pt x="21600" y="0"/>
                </a:cubicBezTo>
                <a:cubicBezTo>
                  <a:pt x="21631" y="0"/>
                  <a:pt x="21663" y="0"/>
                  <a:pt x="21695" y="0"/>
                </a:cubicBezTo>
                <a:lnTo>
                  <a:pt x="21600" y="21600"/>
                </a:lnTo>
                <a:close/>
              </a:path>
            </a:pathLst>
          </a:custGeom>
          <a:solidFill>
            <a:srgbClr val="FFFFFF"/>
          </a:solidFill>
          <a:ln w="6350">
            <a:solidFill>
              <a:srgbClr val="000000"/>
            </a:solidFill>
            <a:round/>
            <a:headEnd/>
            <a:tailEnd/>
          </a:ln>
        </xdr:spPr>
      </xdr:sp>
      <xdr:sp macro="" textlink="">
        <xdr:nvSpPr>
          <xdr:cNvPr id="542" name="Arc 279">
            <a:extLst>
              <a:ext uri="{FF2B5EF4-FFF2-40B4-BE49-F238E27FC236}">
                <a16:creationId xmlns:a16="http://schemas.microsoft.com/office/drawing/2014/main" xmlns="" id="{1D82FC21-882B-4E6E-AA7E-0AC659CC7776}"/>
              </a:ext>
            </a:extLst>
          </xdr:cNvPr>
          <xdr:cNvSpPr>
            <a:spLocks/>
          </xdr:cNvSpPr>
        </xdr:nvSpPr>
        <xdr:spPr bwMode="auto">
          <a:xfrm>
            <a:off x="3291717" y="2764930"/>
            <a:ext cx="71102" cy="71374"/>
          </a:xfrm>
          <a:custGeom>
            <a:avLst/>
            <a:gdLst>
              <a:gd name="G0" fmla="+- 0 0 0"/>
              <a:gd name="G1" fmla="+- 21600 0 0"/>
              <a:gd name="G2" fmla="+- 21600 0 0"/>
              <a:gd name="T0" fmla="*/ 96 w 21600"/>
              <a:gd name="T1" fmla="*/ 0 h 21790"/>
              <a:gd name="T2" fmla="*/ 21599 w 21600"/>
              <a:gd name="T3" fmla="*/ 21790 h 21790"/>
              <a:gd name="T4" fmla="*/ 0 w 21600"/>
              <a:gd name="T5" fmla="*/ 21600 h 21790"/>
            </a:gdLst>
            <a:ahLst/>
            <a:cxnLst>
              <a:cxn ang="0">
                <a:pos x="T0" y="T1"/>
              </a:cxn>
              <a:cxn ang="0">
                <a:pos x="T2" y="T3"/>
              </a:cxn>
              <a:cxn ang="0">
                <a:pos x="T4" y="T5"/>
              </a:cxn>
            </a:cxnLst>
            <a:rect l="0" t="0" r="r" b="b"/>
            <a:pathLst>
              <a:path w="21600" h="21790" fill="none" extrusionOk="0">
                <a:moveTo>
                  <a:pt x="95" y="0"/>
                </a:moveTo>
                <a:cubicBezTo>
                  <a:pt x="11987" y="53"/>
                  <a:pt x="21600" y="9708"/>
                  <a:pt x="21600" y="21600"/>
                </a:cubicBezTo>
                <a:cubicBezTo>
                  <a:pt x="21600" y="21663"/>
                  <a:pt x="21599" y="21726"/>
                  <a:pt x="21599" y="21790"/>
                </a:cubicBezTo>
              </a:path>
              <a:path w="21600" h="21790" stroke="0" extrusionOk="0">
                <a:moveTo>
                  <a:pt x="95" y="0"/>
                </a:moveTo>
                <a:cubicBezTo>
                  <a:pt x="11987" y="53"/>
                  <a:pt x="21600" y="9708"/>
                  <a:pt x="21600" y="21600"/>
                </a:cubicBezTo>
                <a:cubicBezTo>
                  <a:pt x="21600" y="21663"/>
                  <a:pt x="21599" y="21726"/>
                  <a:pt x="21599" y="21790"/>
                </a:cubicBezTo>
                <a:lnTo>
                  <a:pt x="0" y="21600"/>
                </a:lnTo>
                <a:close/>
              </a:path>
            </a:pathLst>
          </a:custGeom>
          <a:solidFill>
            <a:srgbClr val="FFFFFF"/>
          </a:solidFill>
          <a:ln w="6350">
            <a:solidFill>
              <a:srgbClr val="000000"/>
            </a:solidFill>
            <a:round/>
            <a:headEnd/>
            <a:tailEnd/>
          </a:ln>
        </xdr:spPr>
      </xdr:sp>
      <xdr:sp macro="" textlink="">
        <xdr:nvSpPr>
          <xdr:cNvPr id="543" name="Freeform 278">
            <a:extLst>
              <a:ext uri="{FF2B5EF4-FFF2-40B4-BE49-F238E27FC236}">
                <a16:creationId xmlns:a16="http://schemas.microsoft.com/office/drawing/2014/main" xmlns="" id="{4BB0A6E0-7682-46A3-A428-567D2F2410F5}"/>
              </a:ext>
            </a:extLst>
          </xdr:cNvPr>
          <xdr:cNvSpPr>
            <a:spLocks/>
          </xdr:cNvSpPr>
        </xdr:nvSpPr>
        <xdr:spPr bwMode="auto">
          <a:xfrm>
            <a:off x="3364723"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4" name="Arc 277">
            <a:extLst>
              <a:ext uri="{FF2B5EF4-FFF2-40B4-BE49-F238E27FC236}">
                <a16:creationId xmlns:a16="http://schemas.microsoft.com/office/drawing/2014/main" xmlns="" id="{0DFA0363-0DEA-455C-A25A-DF4AF31AF637}"/>
              </a:ext>
            </a:extLst>
          </xdr:cNvPr>
          <xdr:cNvSpPr>
            <a:spLocks/>
          </xdr:cNvSpPr>
        </xdr:nvSpPr>
        <xdr:spPr bwMode="auto">
          <a:xfrm>
            <a:off x="3291717" y="2908314"/>
            <a:ext cx="71102" cy="71374"/>
          </a:xfrm>
          <a:custGeom>
            <a:avLst/>
            <a:gdLst>
              <a:gd name="G0" fmla="+- 0 0 0"/>
              <a:gd name="G1" fmla="+- 0 0 0"/>
              <a:gd name="G2" fmla="+- 21600 0 0"/>
              <a:gd name="T0" fmla="*/ 21600 w 21600"/>
              <a:gd name="T1" fmla="*/ 95 h 21600"/>
              <a:gd name="T2" fmla="*/ 95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599" y="94"/>
                </a:moveTo>
                <a:cubicBezTo>
                  <a:pt x="21547" y="11950"/>
                  <a:pt x="11950" y="21547"/>
                  <a:pt x="94" y="21599"/>
                </a:cubicBezTo>
              </a:path>
              <a:path w="21600" h="21600" stroke="0" extrusionOk="0">
                <a:moveTo>
                  <a:pt x="21599" y="94"/>
                </a:moveTo>
                <a:cubicBezTo>
                  <a:pt x="21547" y="11950"/>
                  <a:pt x="11950" y="21547"/>
                  <a:pt x="94" y="21599"/>
                </a:cubicBezTo>
                <a:lnTo>
                  <a:pt x="0" y="0"/>
                </a:lnTo>
                <a:close/>
              </a:path>
            </a:pathLst>
          </a:custGeom>
          <a:solidFill>
            <a:srgbClr val="FFFFFF"/>
          </a:solidFill>
          <a:ln w="6350">
            <a:solidFill>
              <a:srgbClr val="000000"/>
            </a:solidFill>
            <a:round/>
            <a:headEnd/>
            <a:tailEnd/>
          </a:ln>
        </xdr:spPr>
      </xdr:sp>
      <xdr:sp macro="" textlink="">
        <xdr:nvSpPr>
          <xdr:cNvPr id="545" name="Freeform 276">
            <a:extLst>
              <a:ext uri="{FF2B5EF4-FFF2-40B4-BE49-F238E27FC236}">
                <a16:creationId xmlns:a16="http://schemas.microsoft.com/office/drawing/2014/main" xmlns="" id="{364985F5-8037-40F0-9A79-6C00788ED35F}"/>
              </a:ext>
            </a:extLst>
          </xdr:cNvPr>
          <xdr:cNvSpPr>
            <a:spLocks/>
          </xdr:cNvSpPr>
        </xdr:nvSpPr>
        <xdr:spPr bwMode="auto">
          <a:xfrm>
            <a:off x="3220615"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 name="Arc 275">
            <a:extLst>
              <a:ext uri="{FF2B5EF4-FFF2-40B4-BE49-F238E27FC236}">
                <a16:creationId xmlns:a16="http://schemas.microsoft.com/office/drawing/2014/main" xmlns="" id="{52C8C993-AAC4-4A8D-8479-F3AFB75FC97A}"/>
              </a:ext>
            </a:extLst>
          </xdr:cNvPr>
          <xdr:cNvSpPr>
            <a:spLocks/>
          </xdr:cNvSpPr>
        </xdr:nvSpPr>
        <xdr:spPr bwMode="auto">
          <a:xfrm>
            <a:off x="3220615" y="2908314"/>
            <a:ext cx="71102" cy="71374"/>
          </a:xfrm>
          <a:custGeom>
            <a:avLst/>
            <a:gdLst>
              <a:gd name="G0" fmla="+- 21600 0 0"/>
              <a:gd name="G1" fmla="+- 0 0 0"/>
              <a:gd name="G2" fmla="+- 21600 0 0"/>
              <a:gd name="T0" fmla="*/ 21695 w 21695"/>
              <a:gd name="T1" fmla="*/ 21600 h 21600"/>
              <a:gd name="T2" fmla="*/ 0 w 21695"/>
              <a:gd name="T3" fmla="*/ 96 h 21600"/>
              <a:gd name="T4" fmla="*/ 21600 w 21695"/>
              <a:gd name="T5" fmla="*/ 0 h 21600"/>
            </a:gdLst>
            <a:ahLst/>
            <a:cxnLst>
              <a:cxn ang="0">
                <a:pos x="T0" y="T1"/>
              </a:cxn>
              <a:cxn ang="0">
                <a:pos x="T2" y="T3"/>
              </a:cxn>
              <a:cxn ang="0">
                <a:pos x="T4" y="T5"/>
              </a:cxn>
            </a:cxnLst>
            <a:rect l="0" t="0" r="r" b="b"/>
            <a:pathLst>
              <a:path w="21695" h="21600" fill="none" extrusionOk="0">
                <a:moveTo>
                  <a:pt x="21694" y="21599"/>
                </a:moveTo>
                <a:cubicBezTo>
                  <a:pt x="21663" y="21599"/>
                  <a:pt x="21631" y="21599"/>
                  <a:pt x="21600" y="21599"/>
                </a:cubicBezTo>
                <a:cubicBezTo>
                  <a:pt x="9708" y="21599"/>
                  <a:pt x="53" y="11987"/>
                  <a:pt x="0" y="95"/>
                </a:cubicBezTo>
              </a:path>
              <a:path w="21695" h="21600" stroke="0" extrusionOk="0">
                <a:moveTo>
                  <a:pt x="21694" y="21599"/>
                </a:moveTo>
                <a:cubicBezTo>
                  <a:pt x="21663" y="21599"/>
                  <a:pt x="21631" y="21599"/>
                  <a:pt x="21600" y="21599"/>
                </a:cubicBezTo>
                <a:cubicBezTo>
                  <a:pt x="9708" y="21599"/>
                  <a:pt x="53" y="11987"/>
                  <a:pt x="0" y="95"/>
                </a:cubicBezTo>
                <a:lnTo>
                  <a:pt x="21600" y="0"/>
                </a:lnTo>
                <a:close/>
              </a:path>
            </a:pathLst>
          </a:custGeom>
          <a:solidFill>
            <a:srgbClr val="FFFFFF"/>
          </a:solidFill>
          <a:ln w="6350">
            <a:solidFill>
              <a:srgbClr val="000000"/>
            </a:solidFill>
            <a:round/>
            <a:headEnd/>
            <a:tailEnd/>
          </a:ln>
        </xdr:spPr>
      </xdr:sp>
      <xdr:sp macro="" textlink="">
        <xdr:nvSpPr>
          <xdr:cNvPr id="547" name="Arc 274">
            <a:extLst>
              <a:ext uri="{FF2B5EF4-FFF2-40B4-BE49-F238E27FC236}">
                <a16:creationId xmlns:a16="http://schemas.microsoft.com/office/drawing/2014/main" xmlns="" id="{CB7BC5BC-6DE1-4552-8F0D-05422C7E7785}"/>
              </a:ext>
            </a:extLst>
          </xdr:cNvPr>
          <xdr:cNvSpPr>
            <a:spLocks/>
          </xdr:cNvSpPr>
        </xdr:nvSpPr>
        <xdr:spPr bwMode="auto">
          <a:xfrm>
            <a:off x="3436460" y="2764930"/>
            <a:ext cx="71102" cy="71374"/>
          </a:xfrm>
          <a:custGeom>
            <a:avLst/>
            <a:gdLst>
              <a:gd name="G0" fmla="+- 21600 0 0"/>
              <a:gd name="G1" fmla="+- 21600 0 0"/>
              <a:gd name="G2" fmla="+- 21600 0 0"/>
              <a:gd name="T0" fmla="*/ 1 w 21696"/>
              <a:gd name="T1" fmla="*/ 21792 h 21792"/>
              <a:gd name="T2" fmla="*/ 21696 w 21696"/>
              <a:gd name="T3" fmla="*/ 0 h 21792"/>
              <a:gd name="T4" fmla="*/ 21600 w 21696"/>
              <a:gd name="T5" fmla="*/ 21600 h 21792"/>
            </a:gdLst>
            <a:ahLst/>
            <a:cxnLst>
              <a:cxn ang="0">
                <a:pos x="T0" y="T1"/>
              </a:cxn>
              <a:cxn ang="0">
                <a:pos x="T2" y="T3"/>
              </a:cxn>
              <a:cxn ang="0">
                <a:pos x="T4" y="T5"/>
              </a:cxn>
            </a:cxnLst>
            <a:rect l="0" t="0" r="r" b="b"/>
            <a:pathLst>
              <a:path w="21696" h="21792" fill="none" extrusionOk="0">
                <a:moveTo>
                  <a:pt x="0" y="21792"/>
                </a:moveTo>
                <a:cubicBezTo>
                  <a:pt x="0" y="21728"/>
                  <a:pt x="0" y="21664"/>
                  <a:pt x="0" y="21600"/>
                </a:cubicBezTo>
                <a:cubicBezTo>
                  <a:pt x="0" y="9670"/>
                  <a:pt x="9670" y="0"/>
                  <a:pt x="21600" y="0"/>
                </a:cubicBezTo>
                <a:cubicBezTo>
                  <a:pt x="21631" y="0"/>
                  <a:pt x="21663" y="0"/>
                  <a:pt x="21695" y="0"/>
                </a:cubicBezTo>
              </a:path>
              <a:path w="21696" h="21792" stroke="0" extrusionOk="0">
                <a:moveTo>
                  <a:pt x="0" y="21792"/>
                </a:moveTo>
                <a:cubicBezTo>
                  <a:pt x="0" y="21728"/>
                  <a:pt x="0" y="21664"/>
                  <a:pt x="0" y="21600"/>
                </a:cubicBezTo>
                <a:cubicBezTo>
                  <a:pt x="0" y="9670"/>
                  <a:pt x="9670" y="0"/>
                  <a:pt x="21600" y="0"/>
                </a:cubicBezTo>
                <a:cubicBezTo>
                  <a:pt x="21631" y="0"/>
                  <a:pt x="21663" y="0"/>
                  <a:pt x="21695" y="0"/>
                </a:cubicBezTo>
                <a:lnTo>
                  <a:pt x="21600" y="21600"/>
                </a:lnTo>
                <a:close/>
              </a:path>
            </a:pathLst>
          </a:custGeom>
          <a:solidFill>
            <a:srgbClr val="FFFFFF"/>
          </a:solidFill>
          <a:ln w="6350">
            <a:solidFill>
              <a:srgbClr val="000000"/>
            </a:solidFill>
            <a:round/>
            <a:headEnd/>
            <a:tailEnd/>
          </a:ln>
        </xdr:spPr>
      </xdr:sp>
      <xdr:sp macro="" textlink="">
        <xdr:nvSpPr>
          <xdr:cNvPr id="548" name="Arc 273">
            <a:extLst>
              <a:ext uri="{FF2B5EF4-FFF2-40B4-BE49-F238E27FC236}">
                <a16:creationId xmlns:a16="http://schemas.microsoft.com/office/drawing/2014/main" xmlns="" id="{434F7641-4321-4FBA-9B69-AA58EAC284E8}"/>
              </a:ext>
            </a:extLst>
          </xdr:cNvPr>
          <xdr:cNvSpPr>
            <a:spLocks/>
          </xdr:cNvSpPr>
        </xdr:nvSpPr>
        <xdr:spPr bwMode="auto">
          <a:xfrm>
            <a:off x="3507562" y="2764930"/>
            <a:ext cx="71102" cy="71374"/>
          </a:xfrm>
          <a:custGeom>
            <a:avLst/>
            <a:gdLst>
              <a:gd name="G0" fmla="+- 0 0 0"/>
              <a:gd name="G1" fmla="+- 21600 0 0"/>
              <a:gd name="G2" fmla="+- 21600 0 0"/>
              <a:gd name="T0" fmla="*/ 96 w 21600"/>
              <a:gd name="T1" fmla="*/ 0 h 21789"/>
              <a:gd name="T2" fmla="*/ 21599 w 21600"/>
              <a:gd name="T3" fmla="*/ 21789 h 21789"/>
              <a:gd name="T4" fmla="*/ 0 w 21600"/>
              <a:gd name="T5" fmla="*/ 21600 h 21789"/>
            </a:gdLst>
            <a:ahLst/>
            <a:cxnLst>
              <a:cxn ang="0">
                <a:pos x="T0" y="T1"/>
              </a:cxn>
              <a:cxn ang="0">
                <a:pos x="T2" y="T3"/>
              </a:cxn>
              <a:cxn ang="0">
                <a:pos x="T4" y="T5"/>
              </a:cxn>
            </a:cxnLst>
            <a:rect l="0" t="0" r="r" b="b"/>
            <a:pathLst>
              <a:path w="21600" h="21789" fill="none" extrusionOk="0">
                <a:moveTo>
                  <a:pt x="95" y="0"/>
                </a:moveTo>
                <a:cubicBezTo>
                  <a:pt x="11987" y="53"/>
                  <a:pt x="21600" y="9708"/>
                  <a:pt x="21600" y="21600"/>
                </a:cubicBezTo>
                <a:cubicBezTo>
                  <a:pt x="21600" y="21663"/>
                  <a:pt x="21599" y="21726"/>
                  <a:pt x="21599" y="21789"/>
                </a:cubicBezTo>
              </a:path>
              <a:path w="21600" h="21789" stroke="0" extrusionOk="0">
                <a:moveTo>
                  <a:pt x="95" y="0"/>
                </a:moveTo>
                <a:cubicBezTo>
                  <a:pt x="11987" y="53"/>
                  <a:pt x="21600" y="9708"/>
                  <a:pt x="21600" y="21600"/>
                </a:cubicBezTo>
                <a:cubicBezTo>
                  <a:pt x="21600" y="21663"/>
                  <a:pt x="21599" y="21726"/>
                  <a:pt x="21599" y="21789"/>
                </a:cubicBezTo>
                <a:lnTo>
                  <a:pt x="0" y="21600"/>
                </a:lnTo>
                <a:close/>
              </a:path>
            </a:pathLst>
          </a:custGeom>
          <a:solidFill>
            <a:srgbClr val="FFFFFF"/>
          </a:solidFill>
          <a:ln w="6350">
            <a:solidFill>
              <a:srgbClr val="000000"/>
            </a:solidFill>
            <a:round/>
            <a:headEnd/>
            <a:tailEnd/>
          </a:ln>
        </xdr:spPr>
      </xdr:sp>
      <xdr:sp macro="" textlink="">
        <xdr:nvSpPr>
          <xdr:cNvPr id="549" name="Freeform 272">
            <a:extLst>
              <a:ext uri="{FF2B5EF4-FFF2-40B4-BE49-F238E27FC236}">
                <a16:creationId xmlns:a16="http://schemas.microsoft.com/office/drawing/2014/main" xmlns="" id="{89945466-8A22-4EE2-8098-DC0E163C3DCB}"/>
              </a:ext>
            </a:extLst>
          </xdr:cNvPr>
          <xdr:cNvSpPr>
            <a:spLocks/>
          </xdr:cNvSpPr>
        </xdr:nvSpPr>
        <xdr:spPr bwMode="auto">
          <a:xfrm>
            <a:off x="3580568"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50" name="Arc 271">
            <a:extLst>
              <a:ext uri="{FF2B5EF4-FFF2-40B4-BE49-F238E27FC236}">
                <a16:creationId xmlns:a16="http://schemas.microsoft.com/office/drawing/2014/main" xmlns="" id="{FD3E26BC-A8FC-44A6-AF48-6268E77FDAAD}"/>
              </a:ext>
            </a:extLst>
          </xdr:cNvPr>
          <xdr:cNvSpPr>
            <a:spLocks/>
          </xdr:cNvSpPr>
        </xdr:nvSpPr>
        <xdr:spPr bwMode="auto">
          <a:xfrm>
            <a:off x="3507562" y="2908314"/>
            <a:ext cx="71102" cy="71374"/>
          </a:xfrm>
          <a:custGeom>
            <a:avLst/>
            <a:gdLst>
              <a:gd name="G0" fmla="+- 0 0 0"/>
              <a:gd name="G1" fmla="+- 0 0 0"/>
              <a:gd name="G2" fmla="+- 21600 0 0"/>
              <a:gd name="T0" fmla="*/ 21600 w 21600"/>
              <a:gd name="T1" fmla="*/ 94 h 21600"/>
              <a:gd name="T2" fmla="*/ 95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599" y="93"/>
                </a:moveTo>
                <a:cubicBezTo>
                  <a:pt x="21548" y="11949"/>
                  <a:pt x="11950" y="21547"/>
                  <a:pt x="94" y="21599"/>
                </a:cubicBezTo>
              </a:path>
              <a:path w="21600" h="21600" stroke="0" extrusionOk="0">
                <a:moveTo>
                  <a:pt x="21599" y="93"/>
                </a:moveTo>
                <a:cubicBezTo>
                  <a:pt x="21548" y="11949"/>
                  <a:pt x="11950" y="21547"/>
                  <a:pt x="94" y="21599"/>
                </a:cubicBezTo>
                <a:lnTo>
                  <a:pt x="0" y="0"/>
                </a:lnTo>
                <a:close/>
              </a:path>
            </a:pathLst>
          </a:custGeom>
          <a:solidFill>
            <a:srgbClr val="FFFFFF"/>
          </a:solidFill>
          <a:ln w="6350">
            <a:solidFill>
              <a:srgbClr val="000000"/>
            </a:solidFill>
            <a:round/>
            <a:headEnd/>
            <a:tailEnd/>
          </a:ln>
        </xdr:spPr>
      </xdr:sp>
      <xdr:sp macro="" textlink="">
        <xdr:nvSpPr>
          <xdr:cNvPr id="551" name="Freeform 270">
            <a:extLst>
              <a:ext uri="{FF2B5EF4-FFF2-40B4-BE49-F238E27FC236}">
                <a16:creationId xmlns:a16="http://schemas.microsoft.com/office/drawing/2014/main" xmlns="" id="{84A045AD-CF6D-4031-96C1-3A591D83AFE3}"/>
              </a:ext>
            </a:extLst>
          </xdr:cNvPr>
          <xdr:cNvSpPr>
            <a:spLocks/>
          </xdr:cNvSpPr>
        </xdr:nvSpPr>
        <xdr:spPr bwMode="auto">
          <a:xfrm>
            <a:off x="3436460"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52" name="Arc 269">
            <a:extLst>
              <a:ext uri="{FF2B5EF4-FFF2-40B4-BE49-F238E27FC236}">
                <a16:creationId xmlns:a16="http://schemas.microsoft.com/office/drawing/2014/main" xmlns="" id="{D825229F-B7F4-4662-8247-E7E75CBEE609}"/>
              </a:ext>
            </a:extLst>
          </xdr:cNvPr>
          <xdr:cNvSpPr>
            <a:spLocks/>
          </xdr:cNvSpPr>
        </xdr:nvSpPr>
        <xdr:spPr bwMode="auto">
          <a:xfrm>
            <a:off x="3436460" y="2908314"/>
            <a:ext cx="71102" cy="71374"/>
          </a:xfrm>
          <a:custGeom>
            <a:avLst/>
            <a:gdLst>
              <a:gd name="G0" fmla="+- 21600 0 0"/>
              <a:gd name="G1" fmla="+- 0 0 0"/>
              <a:gd name="G2" fmla="+- 21600 0 0"/>
              <a:gd name="T0" fmla="*/ 21695 w 21695"/>
              <a:gd name="T1" fmla="*/ 21600 h 21600"/>
              <a:gd name="T2" fmla="*/ 0 w 21695"/>
              <a:gd name="T3" fmla="*/ 96 h 21600"/>
              <a:gd name="T4" fmla="*/ 21600 w 21695"/>
              <a:gd name="T5" fmla="*/ 0 h 21600"/>
            </a:gdLst>
            <a:ahLst/>
            <a:cxnLst>
              <a:cxn ang="0">
                <a:pos x="T0" y="T1"/>
              </a:cxn>
              <a:cxn ang="0">
                <a:pos x="T2" y="T3"/>
              </a:cxn>
              <a:cxn ang="0">
                <a:pos x="T4" y="T5"/>
              </a:cxn>
            </a:cxnLst>
            <a:rect l="0" t="0" r="r" b="b"/>
            <a:pathLst>
              <a:path w="21695" h="21600" fill="none" extrusionOk="0">
                <a:moveTo>
                  <a:pt x="21694" y="21599"/>
                </a:moveTo>
                <a:cubicBezTo>
                  <a:pt x="21663" y="21599"/>
                  <a:pt x="21631" y="21599"/>
                  <a:pt x="21600" y="21599"/>
                </a:cubicBezTo>
                <a:cubicBezTo>
                  <a:pt x="9708" y="21599"/>
                  <a:pt x="53" y="11987"/>
                  <a:pt x="0" y="95"/>
                </a:cubicBezTo>
              </a:path>
              <a:path w="21695" h="21600" stroke="0" extrusionOk="0">
                <a:moveTo>
                  <a:pt x="21694" y="21599"/>
                </a:moveTo>
                <a:cubicBezTo>
                  <a:pt x="21663" y="21599"/>
                  <a:pt x="21631" y="21599"/>
                  <a:pt x="21600" y="21599"/>
                </a:cubicBezTo>
                <a:cubicBezTo>
                  <a:pt x="9708" y="21599"/>
                  <a:pt x="53" y="11987"/>
                  <a:pt x="0" y="95"/>
                </a:cubicBezTo>
                <a:lnTo>
                  <a:pt x="21600" y="0"/>
                </a:lnTo>
                <a:close/>
              </a:path>
            </a:pathLst>
          </a:custGeom>
          <a:solidFill>
            <a:srgbClr val="FFFFFF"/>
          </a:solidFill>
          <a:ln w="6350">
            <a:solidFill>
              <a:srgbClr val="000000"/>
            </a:solidFill>
            <a:round/>
            <a:headEnd/>
            <a:tailEnd/>
          </a:ln>
        </xdr:spPr>
      </xdr:sp>
      <xdr:sp macro="" textlink="">
        <xdr:nvSpPr>
          <xdr:cNvPr id="553" name="Arc 268">
            <a:extLst>
              <a:ext uri="{FF2B5EF4-FFF2-40B4-BE49-F238E27FC236}">
                <a16:creationId xmlns:a16="http://schemas.microsoft.com/office/drawing/2014/main" xmlns="" id="{58691A37-589D-4BC2-90BF-9ECDD6EA42B6}"/>
              </a:ext>
            </a:extLst>
          </xdr:cNvPr>
          <xdr:cNvSpPr>
            <a:spLocks/>
          </xdr:cNvSpPr>
        </xdr:nvSpPr>
        <xdr:spPr bwMode="auto">
          <a:xfrm>
            <a:off x="3652939" y="2764930"/>
            <a:ext cx="71102" cy="71374"/>
          </a:xfrm>
          <a:custGeom>
            <a:avLst/>
            <a:gdLst>
              <a:gd name="G0" fmla="+- 21600 0 0"/>
              <a:gd name="G1" fmla="+- 21600 0 0"/>
              <a:gd name="G2" fmla="+- 21600 0 0"/>
              <a:gd name="T0" fmla="*/ 1 w 21792"/>
              <a:gd name="T1" fmla="*/ 21791 h 21791"/>
              <a:gd name="T2" fmla="*/ 21792 w 21792"/>
              <a:gd name="T3" fmla="*/ 1 h 21791"/>
              <a:gd name="T4" fmla="*/ 21600 w 21792"/>
              <a:gd name="T5" fmla="*/ 21600 h 21791"/>
            </a:gdLst>
            <a:ahLst/>
            <a:cxnLst>
              <a:cxn ang="0">
                <a:pos x="T0" y="T1"/>
              </a:cxn>
              <a:cxn ang="0">
                <a:pos x="T2" y="T3"/>
              </a:cxn>
              <a:cxn ang="0">
                <a:pos x="T4" y="T5"/>
              </a:cxn>
            </a:cxnLst>
            <a:rect l="0" t="0" r="r" b="b"/>
            <a:pathLst>
              <a:path w="21792" h="21791" fill="none" extrusionOk="0">
                <a:moveTo>
                  <a:pt x="0" y="21791"/>
                </a:moveTo>
                <a:cubicBezTo>
                  <a:pt x="0" y="21727"/>
                  <a:pt x="0" y="21663"/>
                  <a:pt x="0" y="21600"/>
                </a:cubicBezTo>
                <a:cubicBezTo>
                  <a:pt x="0" y="9670"/>
                  <a:pt x="9670" y="0"/>
                  <a:pt x="21600" y="0"/>
                </a:cubicBezTo>
                <a:cubicBezTo>
                  <a:pt x="21664" y="0"/>
                  <a:pt x="21728" y="0"/>
                  <a:pt x="21792" y="0"/>
                </a:cubicBezTo>
              </a:path>
              <a:path w="21792" h="21791" stroke="0" extrusionOk="0">
                <a:moveTo>
                  <a:pt x="0" y="21791"/>
                </a:moveTo>
                <a:cubicBezTo>
                  <a:pt x="0" y="21727"/>
                  <a:pt x="0" y="21663"/>
                  <a:pt x="0" y="21600"/>
                </a:cubicBezTo>
                <a:cubicBezTo>
                  <a:pt x="0" y="9670"/>
                  <a:pt x="9670" y="0"/>
                  <a:pt x="21600" y="0"/>
                </a:cubicBezTo>
                <a:cubicBezTo>
                  <a:pt x="21664" y="0"/>
                  <a:pt x="21728" y="0"/>
                  <a:pt x="21792" y="0"/>
                </a:cubicBezTo>
                <a:lnTo>
                  <a:pt x="21600" y="21600"/>
                </a:lnTo>
                <a:close/>
              </a:path>
            </a:pathLst>
          </a:custGeom>
          <a:solidFill>
            <a:srgbClr val="FFFFFF"/>
          </a:solidFill>
          <a:ln w="6350">
            <a:solidFill>
              <a:srgbClr val="000000"/>
            </a:solidFill>
            <a:round/>
            <a:headEnd/>
            <a:tailEnd/>
          </a:ln>
        </xdr:spPr>
      </xdr:sp>
      <xdr:sp macro="" textlink="">
        <xdr:nvSpPr>
          <xdr:cNvPr id="554" name="Arc 267">
            <a:extLst>
              <a:ext uri="{FF2B5EF4-FFF2-40B4-BE49-F238E27FC236}">
                <a16:creationId xmlns:a16="http://schemas.microsoft.com/office/drawing/2014/main" xmlns="" id="{A6D68023-5382-466D-A11C-1C096A7373EB}"/>
              </a:ext>
            </a:extLst>
          </xdr:cNvPr>
          <xdr:cNvSpPr>
            <a:spLocks/>
          </xdr:cNvSpPr>
        </xdr:nvSpPr>
        <xdr:spPr bwMode="auto">
          <a:xfrm>
            <a:off x="3723406" y="2764930"/>
            <a:ext cx="70467" cy="71374"/>
          </a:xfrm>
          <a:custGeom>
            <a:avLst/>
            <a:gdLst>
              <a:gd name="G0" fmla="+- 0 0 0"/>
              <a:gd name="G1" fmla="+- 21599 0 0"/>
              <a:gd name="G2" fmla="+- 21600 0 0"/>
              <a:gd name="T0" fmla="*/ 192 w 21600"/>
              <a:gd name="T1" fmla="*/ 0 h 21788"/>
              <a:gd name="T2" fmla="*/ 21599 w 21600"/>
              <a:gd name="T3" fmla="*/ 21788 h 21788"/>
              <a:gd name="T4" fmla="*/ 0 w 21600"/>
              <a:gd name="T5" fmla="*/ 21599 h 21788"/>
            </a:gdLst>
            <a:ahLst/>
            <a:cxnLst>
              <a:cxn ang="0">
                <a:pos x="T0" y="T1"/>
              </a:cxn>
              <a:cxn ang="0">
                <a:pos x="T2" y="T3"/>
              </a:cxn>
              <a:cxn ang="0">
                <a:pos x="T4" y="T5"/>
              </a:cxn>
            </a:cxnLst>
            <a:rect l="0" t="0" r="r" b="b"/>
            <a:pathLst>
              <a:path w="21600" h="21788" fill="none" extrusionOk="0">
                <a:moveTo>
                  <a:pt x="192" y="-1"/>
                </a:moveTo>
                <a:cubicBezTo>
                  <a:pt x="12045" y="105"/>
                  <a:pt x="21600" y="9744"/>
                  <a:pt x="21600" y="21599"/>
                </a:cubicBezTo>
                <a:cubicBezTo>
                  <a:pt x="21600" y="21662"/>
                  <a:pt x="21599" y="21725"/>
                  <a:pt x="21599" y="21788"/>
                </a:cubicBezTo>
              </a:path>
              <a:path w="21600" h="21788" stroke="0" extrusionOk="0">
                <a:moveTo>
                  <a:pt x="192" y="-1"/>
                </a:moveTo>
                <a:cubicBezTo>
                  <a:pt x="12045" y="105"/>
                  <a:pt x="21600" y="9744"/>
                  <a:pt x="21600" y="21599"/>
                </a:cubicBezTo>
                <a:cubicBezTo>
                  <a:pt x="21600" y="21662"/>
                  <a:pt x="21599" y="21725"/>
                  <a:pt x="21599" y="21788"/>
                </a:cubicBezTo>
                <a:lnTo>
                  <a:pt x="0" y="21599"/>
                </a:lnTo>
                <a:close/>
              </a:path>
            </a:pathLst>
          </a:custGeom>
          <a:solidFill>
            <a:srgbClr val="FFFFFF"/>
          </a:solidFill>
          <a:ln w="6350">
            <a:solidFill>
              <a:srgbClr val="000000"/>
            </a:solidFill>
            <a:round/>
            <a:headEnd/>
            <a:tailEnd/>
          </a:ln>
        </xdr:spPr>
      </xdr:sp>
      <xdr:sp macro="" textlink="">
        <xdr:nvSpPr>
          <xdr:cNvPr id="555" name="Freeform 266">
            <a:extLst>
              <a:ext uri="{FF2B5EF4-FFF2-40B4-BE49-F238E27FC236}">
                <a16:creationId xmlns:a16="http://schemas.microsoft.com/office/drawing/2014/main" xmlns="" id="{77F1D374-75C3-48E5-BF58-60F80CAD62E3}"/>
              </a:ext>
            </a:extLst>
          </xdr:cNvPr>
          <xdr:cNvSpPr>
            <a:spLocks/>
          </xdr:cNvSpPr>
        </xdr:nvSpPr>
        <xdr:spPr bwMode="auto">
          <a:xfrm>
            <a:off x="3796413"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56" name="Arc 265">
            <a:extLst>
              <a:ext uri="{FF2B5EF4-FFF2-40B4-BE49-F238E27FC236}">
                <a16:creationId xmlns:a16="http://schemas.microsoft.com/office/drawing/2014/main" xmlns="" id="{85AA1511-5F58-41B9-90F0-523999E32672}"/>
              </a:ext>
            </a:extLst>
          </xdr:cNvPr>
          <xdr:cNvSpPr>
            <a:spLocks/>
          </xdr:cNvSpPr>
        </xdr:nvSpPr>
        <xdr:spPr bwMode="auto">
          <a:xfrm>
            <a:off x="3723406" y="2908314"/>
            <a:ext cx="70467" cy="70736"/>
          </a:xfrm>
          <a:custGeom>
            <a:avLst/>
            <a:gdLst>
              <a:gd name="G0" fmla="+- 0 0 0"/>
              <a:gd name="G1" fmla="+- 0 0 0"/>
              <a:gd name="G2" fmla="+- 21600 0 0"/>
              <a:gd name="T0" fmla="*/ 21600 w 21600"/>
              <a:gd name="T1" fmla="*/ 94 h 21599"/>
              <a:gd name="T2" fmla="*/ 190 w 21600"/>
              <a:gd name="T3" fmla="*/ 21599 h 21599"/>
              <a:gd name="T4" fmla="*/ 0 w 21600"/>
              <a:gd name="T5" fmla="*/ 0 h 21599"/>
            </a:gdLst>
            <a:ahLst/>
            <a:cxnLst>
              <a:cxn ang="0">
                <a:pos x="T0" y="T1"/>
              </a:cxn>
              <a:cxn ang="0">
                <a:pos x="T2" y="T3"/>
              </a:cxn>
              <a:cxn ang="0">
                <a:pos x="T4" y="T5"/>
              </a:cxn>
            </a:cxnLst>
            <a:rect l="0" t="0" r="r" b="b"/>
            <a:pathLst>
              <a:path w="21600" h="21599" fill="none" extrusionOk="0">
                <a:moveTo>
                  <a:pt x="21599" y="93"/>
                </a:moveTo>
                <a:cubicBezTo>
                  <a:pt x="21548" y="11912"/>
                  <a:pt x="12008" y="21495"/>
                  <a:pt x="190" y="21599"/>
                </a:cubicBezTo>
              </a:path>
              <a:path w="21600" h="21599" stroke="0" extrusionOk="0">
                <a:moveTo>
                  <a:pt x="21599" y="93"/>
                </a:moveTo>
                <a:cubicBezTo>
                  <a:pt x="21548" y="11912"/>
                  <a:pt x="12008" y="21495"/>
                  <a:pt x="190" y="21599"/>
                </a:cubicBezTo>
                <a:lnTo>
                  <a:pt x="0" y="0"/>
                </a:lnTo>
                <a:close/>
              </a:path>
            </a:pathLst>
          </a:custGeom>
          <a:solidFill>
            <a:srgbClr val="FFFFFF"/>
          </a:solidFill>
          <a:ln w="6350">
            <a:solidFill>
              <a:srgbClr val="000000"/>
            </a:solidFill>
            <a:round/>
            <a:headEnd/>
            <a:tailEnd/>
          </a:ln>
        </xdr:spPr>
      </xdr:sp>
      <xdr:sp macro="" textlink="">
        <xdr:nvSpPr>
          <xdr:cNvPr id="557" name="Freeform 264">
            <a:extLst>
              <a:ext uri="{FF2B5EF4-FFF2-40B4-BE49-F238E27FC236}">
                <a16:creationId xmlns:a16="http://schemas.microsoft.com/office/drawing/2014/main" xmlns="" id="{1FB3892A-8B52-4001-87E1-FCFAD3E20866}"/>
              </a:ext>
            </a:extLst>
          </xdr:cNvPr>
          <xdr:cNvSpPr>
            <a:spLocks/>
          </xdr:cNvSpPr>
        </xdr:nvSpPr>
        <xdr:spPr bwMode="auto">
          <a:xfrm>
            <a:off x="3652305"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58" name="Arc 263">
            <a:extLst>
              <a:ext uri="{FF2B5EF4-FFF2-40B4-BE49-F238E27FC236}">
                <a16:creationId xmlns:a16="http://schemas.microsoft.com/office/drawing/2014/main" xmlns="" id="{0E852731-273C-4848-B559-7549073C8A04}"/>
              </a:ext>
            </a:extLst>
          </xdr:cNvPr>
          <xdr:cNvSpPr>
            <a:spLocks/>
          </xdr:cNvSpPr>
        </xdr:nvSpPr>
        <xdr:spPr bwMode="auto">
          <a:xfrm>
            <a:off x="3652939" y="2908314"/>
            <a:ext cx="71102" cy="71374"/>
          </a:xfrm>
          <a:custGeom>
            <a:avLst/>
            <a:gdLst>
              <a:gd name="G0" fmla="+- 21600 0 0"/>
              <a:gd name="G1" fmla="+- 0 0 0"/>
              <a:gd name="G2" fmla="+- 21600 0 0"/>
              <a:gd name="T0" fmla="*/ 21790 w 21790"/>
              <a:gd name="T1" fmla="*/ 21599 h 21600"/>
              <a:gd name="T2" fmla="*/ 0 w 21790"/>
              <a:gd name="T3" fmla="*/ 95 h 21600"/>
              <a:gd name="T4" fmla="*/ 21600 w 21790"/>
              <a:gd name="T5" fmla="*/ 0 h 21600"/>
            </a:gdLst>
            <a:ahLst/>
            <a:cxnLst>
              <a:cxn ang="0">
                <a:pos x="T0" y="T1"/>
              </a:cxn>
              <a:cxn ang="0">
                <a:pos x="T2" y="T3"/>
              </a:cxn>
              <a:cxn ang="0">
                <a:pos x="T4" y="T5"/>
              </a:cxn>
            </a:cxnLst>
            <a:rect l="0" t="0" r="r" b="b"/>
            <a:pathLst>
              <a:path w="21790" h="21600" fill="none" extrusionOk="0">
                <a:moveTo>
                  <a:pt x="21790" y="21599"/>
                </a:moveTo>
                <a:cubicBezTo>
                  <a:pt x="21726" y="21599"/>
                  <a:pt x="21663" y="21599"/>
                  <a:pt x="21600" y="21599"/>
                </a:cubicBezTo>
                <a:cubicBezTo>
                  <a:pt x="9707" y="21599"/>
                  <a:pt x="52" y="11987"/>
                  <a:pt x="0" y="94"/>
                </a:cubicBezTo>
              </a:path>
              <a:path w="21790" h="21600" stroke="0" extrusionOk="0">
                <a:moveTo>
                  <a:pt x="21790" y="21599"/>
                </a:moveTo>
                <a:cubicBezTo>
                  <a:pt x="21726" y="21599"/>
                  <a:pt x="21663" y="21599"/>
                  <a:pt x="21600" y="21599"/>
                </a:cubicBezTo>
                <a:cubicBezTo>
                  <a:pt x="9707" y="21599"/>
                  <a:pt x="52" y="11987"/>
                  <a:pt x="0" y="94"/>
                </a:cubicBezTo>
                <a:lnTo>
                  <a:pt x="21600" y="0"/>
                </a:lnTo>
                <a:close/>
              </a:path>
            </a:pathLst>
          </a:custGeom>
          <a:solidFill>
            <a:srgbClr val="FFFFFF"/>
          </a:solidFill>
          <a:ln w="6350">
            <a:solidFill>
              <a:srgbClr val="000000"/>
            </a:solidFill>
            <a:round/>
            <a:headEnd/>
            <a:tailEnd/>
          </a:ln>
        </xdr:spPr>
      </xdr:sp>
      <xdr:sp macro="" textlink="">
        <xdr:nvSpPr>
          <xdr:cNvPr id="559" name="Arc 262">
            <a:extLst>
              <a:ext uri="{FF2B5EF4-FFF2-40B4-BE49-F238E27FC236}">
                <a16:creationId xmlns:a16="http://schemas.microsoft.com/office/drawing/2014/main" xmlns="" id="{34427B0E-CD66-4C14-850B-6E2CA9EE393D}"/>
              </a:ext>
            </a:extLst>
          </xdr:cNvPr>
          <xdr:cNvSpPr>
            <a:spLocks/>
          </xdr:cNvSpPr>
        </xdr:nvSpPr>
        <xdr:spPr bwMode="auto">
          <a:xfrm>
            <a:off x="3868784" y="2764930"/>
            <a:ext cx="71102" cy="71374"/>
          </a:xfrm>
          <a:custGeom>
            <a:avLst/>
            <a:gdLst>
              <a:gd name="G0" fmla="+- 21600 0 0"/>
              <a:gd name="G1" fmla="+- 21600 0 0"/>
              <a:gd name="G2" fmla="+- 21600 0 0"/>
              <a:gd name="T0" fmla="*/ 1 w 21792"/>
              <a:gd name="T1" fmla="*/ 21792 h 21792"/>
              <a:gd name="T2" fmla="*/ 21792 w 21792"/>
              <a:gd name="T3" fmla="*/ 1 h 21792"/>
              <a:gd name="T4" fmla="*/ 21600 w 21792"/>
              <a:gd name="T5" fmla="*/ 21600 h 21792"/>
            </a:gdLst>
            <a:ahLst/>
            <a:cxnLst>
              <a:cxn ang="0">
                <a:pos x="T0" y="T1"/>
              </a:cxn>
              <a:cxn ang="0">
                <a:pos x="T2" y="T3"/>
              </a:cxn>
              <a:cxn ang="0">
                <a:pos x="T4" y="T5"/>
              </a:cxn>
            </a:cxnLst>
            <a:rect l="0" t="0" r="r" b="b"/>
            <a:pathLst>
              <a:path w="21792" h="21792" fill="none" extrusionOk="0">
                <a:moveTo>
                  <a:pt x="0" y="21792"/>
                </a:moveTo>
                <a:cubicBezTo>
                  <a:pt x="0" y="21728"/>
                  <a:pt x="0" y="21664"/>
                  <a:pt x="0" y="21600"/>
                </a:cubicBezTo>
                <a:cubicBezTo>
                  <a:pt x="0" y="9670"/>
                  <a:pt x="9670" y="0"/>
                  <a:pt x="21600" y="0"/>
                </a:cubicBezTo>
                <a:cubicBezTo>
                  <a:pt x="21664" y="0"/>
                  <a:pt x="21728" y="0"/>
                  <a:pt x="21792" y="0"/>
                </a:cubicBezTo>
              </a:path>
              <a:path w="21792" h="21792" stroke="0" extrusionOk="0">
                <a:moveTo>
                  <a:pt x="0" y="21792"/>
                </a:moveTo>
                <a:cubicBezTo>
                  <a:pt x="0" y="21728"/>
                  <a:pt x="0" y="21664"/>
                  <a:pt x="0" y="21600"/>
                </a:cubicBezTo>
                <a:cubicBezTo>
                  <a:pt x="0" y="9670"/>
                  <a:pt x="9670" y="0"/>
                  <a:pt x="21600" y="0"/>
                </a:cubicBezTo>
                <a:cubicBezTo>
                  <a:pt x="21664" y="0"/>
                  <a:pt x="21728" y="0"/>
                  <a:pt x="21792" y="0"/>
                </a:cubicBezTo>
                <a:lnTo>
                  <a:pt x="21600" y="21600"/>
                </a:lnTo>
                <a:close/>
              </a:path>
            </a:pathLst>
          </a:custGeom>
          <a:solidFill>
            <a:srgbClr val="FFFFFF"/>
          </a:solidFill>
          <a:ln w="6350">
            <a:solidFill>
              <a:srgbClr val="000000"/>
            </a:solidFill>
            <a:round/>
            <a:headEnd/>
            <a:tailEnd/>
          </a:ln>
        </xdr:spPr>
      </xdr:sp>
      <xdr:sp macro="" textlink="">
        <xdr:nvSpPr>
          <xdr:cNvPr id="560" name="Arc 261">
            <a:extLst>
              <a:ext uri="{FF2B5EF4-FFF2-40B4-BE49-F238E27FC236}">
                <a16:creationId xmlns:a16="http://schemas.microsoft.com/office/drawing/2014/main" xmlns="" id="{83316BF1-26CB-412B-8FFD-1DFC81C9CF0B}"/>
              </a:ext>
            </a:extLst>
          </xdr:cNvPr>
          <xdr:cNvSpPr>
            <a:spLocks/>
          </xdr:cNvSpPr>
        </xdr:nvSpPr>
        <xdr:spPr bwMode="auto">
          <a:xfrm>
            <a:off x="3939251" y="2764930"/>
            <a:ext cx="70467" cy="71374"/>
          </a:xfrm>
          <a:custGeom>
            <a:avLst/>
            <a:gdLst>
              <a:gd name="G0" fmla="+- 0 0 0"/>
              <a:gd name="G1" fmla="+- 21599 0 0"/>
              <a:gd name="G2" fmla="+- 21600 0 0"/>
              <a:gd name="T0" fmla="*/ 192 w 21600"/>
              <a:gd name="T1" fmla="*/ 0 h 21788"/>
              <a:gd name="T2" fmla="*/ 21599 w 21600"/>
              <a:gd name="T3" fmla="*/ 21788 h 21788"/>
              <a:gd name="T4" fmla="*/ 0 w 21600"/>
              <a:gd name="T5" fmla="*/ 21599 h 21788"/>
            </a:gdLst>
            <a:ahLst/>
            <a:cxnLst>
              <a:cxn ang="0">
                <a:pos x="T0" y="T1"/>
              </a:cxn>
              <a:cxn ang="0">
                <a:pos x="T2" y="T3"/>
              </a:cxn>
              <a:cxn ang="0">
                <a:pos x="T4" y="T5"/>
              </a:cxn>
            </a:cxnLst>
            <a:rect l="0" t="0" r="r" b="b"/>
            <a:pathLst>
              <a:path w="21600" h="21788" fill="none" extrusionOk="0">
                <a:moveTo>
                  <a:pt x="192" y="-1"/>
                </a:moveTo>
                <a:cubicBezTo>
                  <a:pt x="12045" y="105"/>
                  <a:pt x="21600" y="9744"/>
                  <a:pt x="21600" y="21599"/>
                </a:cubicBezTo>
                <a:cubicBezTo>
                  <a:pt x="21600" y="21662"/>
                  <a:pt x="21599" y="21725"/>
                  <a:pt x="21599" y="21788"/>
                </a:cubicBezTo>
              </a:path>
              <a:path w="21600" h="21788" stroke="0" extrusionOk="0">
                <a:moveTo>
                  <a:pt x="192" y="-1"/>
                </a:moveTo>
                <a:cubicBezTo>
                  <a:pt x="12045" y="105"/>
                  <a:pt x="21600" y="9744"/>
                  <a:pt x="21600" y="21599"/>
                </a:cubicBezTo>
                <a:cubicBezTo>
                  <a:pt x="21600" y="21662"/>
                  <a:pt x="21599" y="21725"/>
                  <a:pt x="21599" y="21788"/>
                </a:cubicBezTo>
                <a:lnTo>
                  <a:pt x="0" y="21599"/>
                </a:lnTo>
                <a:close/>
              </a:path>
            </a:pathLst>
          </a:custGeom>
          <a:solidFill>
            <a:srgbClr val="FFFFFF"/>
          </a:solidFill>
          <a:ln w="6350">
            <a:solidFill>
              <a:srgbClr val="000000"/>
            </a:solidFill>
            <a:round/>
            <a:headEnd/>
            <a:tailEnd/>
          </a:ln>
        </xdr:spPr>
      </xdr:sp>
      <xdr:sp macro="" textlink="">
        <xdr:nvSpPr>
          <xdr:cNvPr id="561" name="Freeform 260">
            <a:extLst>
              <a:ext uri="{FF2B5EF4-FFF2-40B4-BE49-F238E27FC236}">
                <a16:creationId xmlns:a16="http://schemas.microsoft.com/office/drawing/2014/main" xmlns="" id="{53C92D12-D377-40B6-A79B-BBCAFF8E58E0}"/>
              </a:ext>
            </a:extLst>
          </xdr:cNvPr>
          <xdr:cNvSpPr>
            <a:spLocks/>
          </xdr:cNvSpPr>
        </xdr:nvSpPr>
        <xdr:spPr bwMode="auto">
          <a:xfrm>
            <a:off x="4012257"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62" name="Arc 259">
            <a:extLst>
              <a:ext uri="{FF2B5EF4-FFF2-40B4-BE49-F238E27FC236}">
                <a16:creationId xmlns:a16="http://schemas.microsoft.com/office/drawing/2014/main" xmlns="" id="{45C95239-6122-4134-9F40-65781FC60B47}"/>
              </a:ext>
            </a:extLst>
          </xdr:cNvPr>
          <xdr:cNvSpPr>
            <a:spLocks/>
          </xdr:cNvSpPr>
        </xdr:nvSpPr>
        <xdr:spPr bwMode="auto">
          <a:xfrm>
            <a:off x="3939251" y="2908314"/>
            <a:ext cx="70467" cy="70736"/>
          </a:xfrm>
          <a:custGeom>
            <a:avLst/>
            <a:gdLst>
              <a:gd name="G0" fmla="+- 0 0 0"/>
              <a:gd name="G1" fmla="+- 0 0 0"/>
              <a:gd name="G2" fmla="+- 21600 0 0"/>
              <a:gd name="T0" fmla="*/ 21600 w 21600"/>
              <a:gd name="T1" fmla="*/ 94 h 21599"/>
              <a:gd name="T2" fmla="*/ 190 w 21600"/>
              <a:gd name="T3" fmla="*/ 21599 h 21599"/>
              <a:gd name="T4" fmla="*/ 0 w 21600"/>
              <a:gd name="T5" fmla="*/ 0 h 21599"/>
            </a:gdLst>
            <a:ahLst/>
            <a:cxnLst>
              <a:cxn ang="0">
                <a:pos x="T0" y="T1"/>
              </a:cxn>
              <a:cxn ang="0">
                <a:pos x="T2" y="T3"/>
              </a:cxn>
              <a:cxn ang="0">
                <a:pos x="T4" y="T5"/>
              </a:cxn>
            </a:cxnLst>
            <a:rect l="0" t="0" r="r" b="b"/>
            <a:pathLst>
              <a:path w="21600" h="21599" fill="none" extrusionOk="0">
                <a:moveTo>
                  <a:pt x="21599" y="93"/>
                </a:moveTo>
                <a:cubicBezTo>
                  <a:pt x="21548" y="11912"/>
                  <a:pt x="12008" y="21495"/>
                  <a:pt x="190" y="21599"/>
                </a:cubicBezTo>
              </a:path>
              <a:path w="21600" h="21599" stroke="0" extrusionOk="0">
                <a:moveTo>
                  <a:pt x="21599" y="93"/>
                </a:moveTo>
                <a:cubicBezTo>
                  <a:pt x="21548" y="11912"/>
                  <a:pt x="12008" y="21495"/>
                  <a:pt x="190" y="21599"/>
                </a:cubicBezTo>
                <a:lnTo>
                  <a:pt x="0" y="0"/>
                </a:lnTo>
                <a:close/>
              </a:path>
            </a:pathLst>
          </a:custGeom>
          <a:solidFill>
            <a:srgbClr val="FFFFFF"/>
          </a:solidFill>
          <a:ln w="6350">
            <a:solidFill>
              <a:srgbClr val="000000"/>
            </a:solidFill>
            <a:round/>
            <a:headEnd/>
            <a:tailEnd/>
          </a:ln>
        </xdr:spPr>
      </xdr:sp>
      <xdr:sp macro="" textlink="">
        <xdr:nvSpPr>
          <xdr:cNvPr id="563" name="Freeform 258">
            <a:extLst>
              <a:ext uri="{FF2B5EF4-FFF2-40B4-BE49-F238E27FC236}">
                <a16:creationId xmlns:a16="http://schemas.microsoft.com/office/drawing/2014/main" xmlns="" id="{5DEDDCCA-9211-46F0-B405-2553AD0CA27D}"/>
              </a:ext>
            </a:extLst>
          </xdr:cNvPr>
          <xdr:cNvSpPr>
            <a:spLocks/>
          </xdr:cNvSpPr>
        </xdr:nvSpPr>
        <xdr:spPr bwMode="auto">
          <a:xfrm>
            <a:off x="3868149"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64" name="Arc 257">
            <a:extLst>
              <a:ext uri="{FF2B5EF4-FFF2-40B4-BE49-F238E27FC236}">
                <a16:creationId xmlns:a16="http://schemas.microsoft.com/office/drawing/2014/main" xmlns="" id="{E8EE6068-79A8-4066-B39C-16432FD404C3}"/>
              </a:ext>
            </a:extLst>
          </xdr:cNvPr>
          <xdr:cNvSpPr>
            <a:spLocks/>
          </xdr:cNvSpPr>
        </xdr:nvSpPr>
        <xdr:spPr bwMode="auto">
          <a:xfrm>
            <a:off x="3868784" y="2908314"/>
            <a:ext cx="71102" cy="71374"/>
          </a:xfrm>
          <a:custGeom>
            <a:avLst/>
            <a:gdLst>
              <a:gd name="G0" fmla="+- 21600 0 0"/>
              <a:gd name="G1" fmla="+- 0 0 0"/>
              <a:gd name="G2" fmla="+- 21600 0 0"/>
              <a:gd name="T0" fmla="*/ 21790 w 21790"/>
              <a:gd name="T1" fmla="*/ 21599 h 21600"/>
              <a:gd name="T2" fmla="*/ 0 w 21790"/>
              <a:gd name="T3" fmla="*/ 96 h 21600"/>
              <a:gd name="T4" fmla="*/ 21600 w 21790"/>
              <a:gd name="T5" fmla="*/ 0 h 21600"/>
            </a:gdLst>
            <a:ahLst/>
            <a:cxnLst>
              <a:cxn ang="0">
                <a:pos x="T0" y="T1"/>
              </a:cxn>
              <a:cxn ang="0">
                <a:pos x="T2" y="T3"/>
              </a:cxn>
              <a:cxn ang="0">
                <a:pos x="T4" y="T5"/>
              </a:cxn>
            </a:cxnLst>
            <a:rect l="0" t="0" r="r" b="b"/>
            <a:pathLst>
              <a:path w="21790" h="21600" fill="none" extrusionOk="0">
                <a:moveTo>
                  <a:pt x="21790" y="21599"/>
                </a:moveTo>
                <a:cubicBezTo>
                  <a:pt x="21726" y="21599"/>
                  <a:pt x="21663" y="21599"/>
                  <a:pt x="21600" y="21599"/>
                </a:cubicBezTo>
                <a:cubicBezTo>
                  <a:pt x="9708" y="21599"/>
                  <a:pt x="53" y="11987"/>
                  <a:pt x="0" y="95"/>
                </a:cubicBezTo>
              </a:path>
              <a:path w="21790" h="21600" stroke="0" extrusionOk="0">
                <a:moveTo>
                  <a:pt x="21790" y="21599"/>
                </a:moveTo>
                <a:cubicBezTo>
                  <a:pt x="21726" y="21599"/>
                  <a:pt x="21663" y="21599"/>
                  <a:pt x="21600" y="21599"/>
                </a:cubicBezTo>
                <a:cubicBezTo>
                  <a:pt x="9708" y="21599"/>
                  <a:pt x="53" y="11987"/>
                  <a:pt x="0" y="95"/>
                </a:cubicBezTo>
                <a:lnTo>
                  <a:pt x="21600" y="0"/>
                </a:lnTo>
                <a:close/>
              </a:path>
            </a:pathLst>
          </a:custGeom>
          <a:solidFill>
            <a:srgbClr val="FFFFFF"/>
          </a:solidFill>
          <a:ln w="6350">
            <a:solidFill>
              <a:srgbClr val="000000"/>
            </a:solidFill>
            <a:round/>
            <a:headEnd/>
            <a:tailEnd/>
          </a:ln>
        </xdr:spPr>
      </xdr:sp>
      <xdr:sp macro="" textlink="">
        <xdr:nvSpPr>
          <xdr:cNvPr id="565" name="Arc 256">
            <a:extLst>
              <a:ext uri="{FF2B5EF4-FFF2-40B4-BE49-F238E27FC236}">
                <a16:creationId xmlns:a16="http://schemas.microsoft.com/office/drawing/2014/main" xmlns="" id="{F5CB39ED-3910-4F27-A3BF-73B6CBAAE7EF}"/>
              </a:ext>
            </a:extLst>
          </xdr:cNvPr>
          <xdr:cNvSpPr>
            <a:spLocks/>
          </xdr:cNvSpPr>
        </xdr:nvSpPr>
        <xdr:spPr bwMode="auto">
          <a:xfrm>
            <a:off x="4084629" y="2764930"/>
            <a:ext cx="71102" cy="71374"/>
          </a:xfrm>
          <a:custGeom>
            <a:avLst/>
            <a:gdLst>
              <a:gd name="G0" fmla="+- 21600 0 0"/>
              <a:gd name="G1" fmla="+- 21600 0 0"/>
              <a:gd name="G2" fmla="+- 21600 0 0"/>
              <a:gd name="T0" fmla="*/ 1 w 21792"/>
              <a:gd name="T1" fmla="*/ 21792 h 21792"/>
              <a:gd name="T2" fmla="*/ 21792 w 21792"/>
              <a:gd name="T3" fmla="*/ 1 h 21792"/>
              <a:gd name="T4" fmla="*/ 21600 w 21792"/>
              <a:gd name="T5" fmla="*/ 21600 h 21792"/>
            </a:gdLst>
            <a:ahLst/>
            <a:cxnLst>
              <a:cxn ang="0">
                <a:pos x="T0" y="T1"/>
              </a:cxn>
              <a:cxn ang="0">
                <a:pos x="T2" y="T3"/>
              </a:cxn>
              <a:cxn ang="0">
                <a:pos x="T4" y="T5"/>
              </a:cxn>
            </a:cxnLst>
            <a:rect l="0" t="0" r="r" b="b"/>
            <a:pathLst>
              <a:path w="21792" h="21792" fill="none" extrusionOk="0">
                <a:moveTo>
                  <a:pt x="0" y="21792"/>
                </a:moveTo>
                <a:cubicBezTo>
                  <a:pt x="0" y="21728"/>
                  <a:pt x="0" y="21664"/>
                  <a:pt x="0" y="21600"/>
                </a:cubicBezTo>
                <a:cubicBezTo>
                  <a:pt x="0" y="9670"/>
                  <a:pt x="9670" y="0"/>
                  <a:pt x="21600" y="0"/>
                </a:cubicBezTo>
                <a:cubicBezTo>
                  <a:pt x="21664" y="0"/>
                  <a:pt x="21728" y="0"/>
                  <a:pt x="21792" y="0"/>
                </a:cubicBezTo>
              </a:path>
              <a:path w="21792" h="21792" stroke="0" extrusionOk="0">
                <a:moveTo>
                  <a:pt x="0" y="21792"/>
                </a:moveTo>
                <a:cubicBezTo>
                  <a:pt x="0" y="21728"/>
                  <a:pt x="0" y="21664"/>
                  <a:pt x="0" y="21600"/>
                </a:cubicBezTo>
                <a:cubicBezTo>
                  <a:pt x="0" y="9670"/>
                  <a:pt x="9670" y="0"/>
                  <a:pt x="21600" y="0"/>
                </a:cubicBezTo>
                <a:cubicBezTo>
                  <a:pt x="21664" y="0"/>
                  <a:pt x="21728" y="0"/>
                  <a:pt x="21792" y="0"/>
                </a:cubicBezTo>
                <a:lnTo>
                  <a:pt x="21600" y="21600"/>
                </a:lnTo>
                <a:close/>
              </a:path>
            </a:pathLst>
          </a:custGeom>
          <a:solidFill>
            <a:srgbClr val="FFFFFF"/>
          </a:solidFill>
          <a:ln w="6350">
            <a:solidFill>
              <a:srgbClr val="000000"/>
            </a:solidFill>
            <a:round/>
            <a:headEnd/>
            <a:tailEnd/>
          </a:ln>
        </xdr:spPr>
      </xdr:sp>
      <xdr:sp macro="" textlink="">
        <xdr:nvSpPr>
          <xdr:cNvPr id="566" name="Arc 255">
            <a:extLst>
              <a:ext uri="{FF2B5EF4-FFF2-40B4-BE49-F238E27FC236}">
                <a16:creationId xmlns:a16="http://schemas.microsoft.com/office/drawing/2014/main" xmlns="" id="{58098ED6-CEBD-4A31-9134-29934255648D}"/>
              </a:ext>
            </a:extLst>
          </xdr:cNvPr>
          <xdr:cNvSpPr>
            <a:spLocks/>
          </xdr:cNvSpPr>
        </xdr:nvSpPr>
        <xdr:spPr bwMode="auto">
          <a:xfrm>
            <a:off x="4155095" y="2764930"/>
            <a:ext cx="70467" cy="71374"/>
          </a:xfrm>
          <a:custGeom>
            <a:avLst/>
            <a:gdLst>
              <a:gd name="G0" fmla="+- 0 0 0"/>
              <a:gd name="G1" fmla="+- 21599 0 0"/>
              <a:gd name="G2" fmla="+- 21600 0 0"/>
              <a:gd name="T0" fmla="*/ 192 w 21600"/>
              <a:gd name="T1" fmla="*/ 0 h 21788"/>
              <a:gd name="T2" fmla="*/ 21599 w 21600"/>
              <a:gd name="T3" fmla="*/ 21788 h 21788"/>
              <a:gd name="T4" fmla="*/ 0 w 21600"/>
              <a:gd name="T5" fmla="*/ 21599 h 21788"/>
            </a:gdLst>
            <a:ahLst/>
            <a:cxnLst>
              <a:cxn ang="0">
                <a:pos x="T0" y="T1"/>
              </a:cxn>
              <a:cxn ang="0">
                <a:pos x="T2" y="T3"/>
              </a:cxn>
              <a:cxn ang="0">
                <a:pos x="T4" y="T5"/>
              </a:cxn>
            </a:cxnLst>
            <a:rect l="0" t="0" r="r" b="b"/>
            <a:pathLst>
              <a:path w="21600" h="21788" fill="none" extrusionOk="0">
                <a:moveTo>
                  <a:pt x="192" y="-1"/>
                </a:moveTo>
                <a:cubicBezTo>
                  <a:pt x="12045" y="105"/>
                  <a:pt x="21600" y="9744"/>
                  <a:pt x="21600" y="21599"/>
                </a:cubicBezTo>
                <a:cubicBezTo>
                  <a:pt x="21600" y="21662"/>
                  <a:pt x="21599" y="21725"/>
                  <a:pt x="21599" y="21788"/>
                </a:cubicBezTo>
              </a:path>
              <a:path w="21600" h="21788" stroke="0" extrusionOk="0">
                <a:moveTo>
                  <a:pt x="192" y="-1"/>
                </a:moveTo>
                <a:cubicBezTo>
                  <a:pt x="12045" y="105"/>
                  <a:pt x="21600" y="9744"/>
                  <a:pt x="21600" y="21599"/>
                </a:cubicBezTo>
                <a:cubicBezTo>
                  <a:pt x="21600" y="21662"/>
                  <a:pt x="21599" y="21725"/>
                  <a:pt x="21599" y="21788"/>
                </a:cubicBezTo>
                <a:lnTo>
                  <a:pt x="0" y="21599"/>
                </a:lnTo>
                <a:close/>
              </a:path>
            </a:pathLst>
          </a:custGeom>
          <a:solidFill>
            <a:srgbClr val="FFFFFF"/>
          </a:solidFill>
          <a:ln w="6350">
            <a:solidFill>
              <a:srgbClr val="000000"/>
            </a:solidFill>
            <a:round/>
            <a:headEnd/>
            <a:tailEnd/>
          </a:ln>
        </xdr:spPr>
      </xdr:sp>
      <xdr:sp macro="" textlink="">
        <xdr:nvSpPr>
          <xdr:cNvPr id="567" name="Freeform 254">
            <a:extLst>
              <a:ext uri="{FF2B5EF4-FFF2-40B4-BE49-F238E27FC236}">
                <a16:creationId xmlns:a16="http://schemas.microsoft.com/office/drawing/2014/main" xmlns="" id="{F854632E-F238-4FB5-9A61-CBB09F73E117}"/>
              </a:ext>
            </a:extLst>
          </xdr:cNvPr>
          <xdr:cNvSpPr>
            <a:spLocks/>
          </xdr:cNvSpPr>
        </xdr:nvSpPr>
        <xdr:spPr bwMode="auto">
          <a:xfrm>
            <a:off x="4228102"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solidFill>
            <a:srgbClr val="FFFFFF"/>
          </a:solidFill>
          <a:ln w="6350">
            <a:solidFill>
              <a:srgbClr val="000000"/>
            </a:solidFill>
            <a:round/>
            <a:headEnd/>
            <a:tailEnd/>
          </a:ln>
        </xdr:spPr>
      </xdr:sp>
      <xdr:sp macro="" textlink="">
        <xdr:nvSpPr>
          <xdr:cNvPr id="568" name="Arc 253">
            <a:extLst>
              <a:ext uri="{FF2B5EF4-FFF2-40B4-BE49-F238E27FC236}">
                <a16:creationId xmlns:a16="http://schemas.microsoft.com/office/drawing/2014/main" xmlns="" id="{5129F6BB-4AB4-4154-8E03-0F8D777915EA}"/>
              </a:ext>
            </a:extLst>
          </xdr:cNvPr>
          <xdr:cNvSpPr>
            <a:spLocks/>
          </xdr:cNvSpPr>
        </xdr:nvSpPr>
        <xdr:spPr bwMode="auto">
          <a:xfrm>
            <a:off x="4155095" y="2908314"/>
            <a:ext cx="70467" cy="70736"/>
          </a:xfrm>
          <a:custGeom>
            <a:avLst/>
            <a:gdLst>
              <a:gd name="G0" fmla="+- 0 0 0"/>
              <a:gd name="G1" fmla="+- 0 0 0"/>
              <a:gd name="G2" fmla="+- 21600 0 0"/>
              <a:gd name="T0" fmla="*/ 21600 w 21600"/>
              <a:gd name="T1" fmla="*/ 94 h 21599"/>
              <a:gd name="T2" fmla="*/ 190 w 21600"/>
              <a:gd name="T3" fmla="*/ 21599 h 21599"/>
              <a:gd name="T4" fmla="*/ 0 w 21600"/>
              <a:gd name="T5" fmla="*/ 0 h 21599"/>
            </a:gdLst>
            <a:ahLst/>
            <a:cxnLst>
              <a:cxn ang="0">
                <a:pos x="T0" y="T1"/>
              </a:cxn>
              <a:cxn ang="0">
                <a:pos x="T2" y="T3"/>
              </a:cxn>
              <a:cxn ang="0">
                <a:pos x="T4" y="T5"/>
              </a:cxn>
            </a:cxnLst>
            <a:rect l="0" t="0" r="r" b="b"/>
            <a:pathLst>
              <a:path w="21600" h="21599" fill="none" extrusionOk="0">
                <a:moveTo>
                  <a:pt x="21599" y="93"/>
                </a:moveTo>
                <a:cubicBezTo>
                  <a:pt x="21548" y="11912"/>
                  <a:pt x="12008" y="21495"/>
                  <a:pt x="190" y="21599"/>
                </a:cubicBezTo>
              </a:path>
              <a:path w="21600" h="21599" stroke="0" extrusionOk="0">
                <a:moveTo>
                  <a:pt x="21599" y="93"/>
                </a:moveTo>
                <a:cubicBezTo>
                  <a:pt x="21548" y="11912"/>
                  <a:pt x="12008" y="21495"/>
                  <a:pt x="190" y="21599"/>
                </a:cubicBezTo>
                <a:lnTo>
                  <a:pt x="0" y="0"/>
                </a:lnTo>
                <a:close/>
              </a:path>
            </a:pathLst>
          </a:custGeom>
          <a:solidFill>
            <a:srgbClr val="FFFFFF"/>
          </a:solidFill>
          <a:ln w="6350">
            <a:solidFill>
              <a:srgbClr val="000000"/>
            </a:solidFill>
            <a:round/>
            <a:headEnd/>
            <a:tailEnd/>
          </a:ln>
        </xdr:spPr>
      </xdr:sp>
      <xdr:sp macro="" textlink="">
        <xdr:nvSpPr>
          <xdr:cNvPr id="569" name="Freeform 252">
            <a:extLst>
              <a:ext uri="{FF2B5EF4-FFF2-40B4-BE49-F238E27FC236}">
                <a16:creationId xmlns:a16="http://schemas.microsoft.com/office/drawing/2014/main" xmlns="" id="{FBB13724-68EA-49F1-BA60-6D72C6286A41}"/>
              </a:ext>
            </a:extLst>
          </xdr:cNvPr>
          <xdr:cNvSpPr>
            <a:spLocks/>
          </xdr:cNvSpPr>
        </xdr:nvSpPr>
        <xdr:spPr bwMode="auto">
          <a:xfrm>
            <a:off x="4083994"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solidFill>
            <a:srgbClr val="FFFFFF"/>
          </a:solidFill>
          <a:ln w="6350">
            <a:solidFill>
              <a:srgbClr val="000000"/>
            </a:solidFill>
            <a:round/>
            <a:headEnd/>
            <a:tailEnd/>
          </a:ln>
        </xdr:spPr>
      </xdr:sp>
      <xdr:sp macro="" textlink="">
        <xdr:nvSpPr>
          <xdr:cNvPr id="570" name="Arc 251">
            <a:extLst>
              <a:ext uri="{FF2B5EF4-FFF2-40B4-BE49-F238E27FC236}">
                <a16:creationId xmlns:a16="http://schemas.microsoft.com/office/drawing/2014/main" xmlns="" id="{DD3DDB5B-0F07-4AF5-A593-28CC3836908A}"/>
              </a:ext>
            </a:extLst>
          </xdr:cNvPr>
          <xdr:cNvSpPr>
            <a:spLocks/>
          </xdr:cNvSpPr>
        </xdr:nvSpPr>
        <xdr:spPr bwMode="auto">
          <a:xfrm>
            <a:off x="4084629" y="2908314"/>
            <a:ext cx="71102" cy="71374"/>
          </a:xfrm>
          <a:custGeom>
            <a:avLst/>
            <a:gdLst>
              <a:gd name="G0" fmla="+- 21600 0 0"/>
              <a:gd name="G1" fmla="+- 0 0 0"/>
              <a:gd name="G2" fmla="+- 21600 0 0"/>
              <a:gd name="T0" fmla="*/ 21790 w 21790"/>
              <a:gd name="T1" fmla="*/ 21599 h 21600"/>
              <a:gd name="T2" fmla="*/ 0 w 21790"/>
              <a:gd name="T3" fmla="*/ 96 h 21600"/>
              <a:gd name="T4" fmla="*/ 21600 w 21790"/>
              <a:gd name="T5" fmla="*/ 0 h 21600"/>
            </a:gdLst>
            <a:ahLst/>
            <a:cxnLst>
              <a:cxn ang="0">
                <a:pos x="T0" y="T1"/>
              </a:cxn>
              <a:cxn ang="0">
                <a:pos x="T2" y="T3"/>
              </a:cxn>
              <a:cxn ang="0">
                <a:pos x="T4" y="T5"/>
              </a:cxn>
            </a:cxnLst>
            <a:rect l="0" t="0" r="r" b="b"/>
            <a:pathLst>
              <a:path w="21790" h="21600" fill="none" extrusionOk="0">
                <a:moveTo>
                  <a:pt x="21790" y="21599"/>
                </a:moveTo>
                <a:cubicBezTo>
                  <a:pt x="21726" y="21599"/>
                  <a:pt x="21663" y="21599"/>
                  <a:pt x="21600" y="21599"/>
                </a:cubicBezTo>
                <a:cubicBezTo>
                  <a:pt x="9708" y="21599"/>
                  <a:pt x="53" y="11987"/>
                  <a:pt x="0" y="95"/>
                </a:cubicBezTo>
              </a:path>
              <a:path w="21790" h="21600" stroke="0" extrusionOk="0">
                <a:moveTo>
                  <a:pt x="21790" y="21599"/>
                </a:moveTo>
                <a:cubicBezTo>
                  <a:pt x="21726" y="21599"/>
                  <a:pt x="21663" y="21599"/>
                  <a:pt x="21600" y="21599"/>
                </a:cubicBezTo>
                <a:cubicBezTo>
                  <a:pt x="9708" y="21599"/>
                  <a:pt x="53" y="11987"/>
                  <a:pt x="0" y="95"/>
                </a:cubicBezTo>
                <a:lnTo>
                  <a:pt x="21600" y="0"/>
                </a:lnTo>
                <a:close/>
              </a:path>
            </a:pathLst>
          </a:custGeom>
          <a:solidFill>
            <a:srgbClr val="FFFFFF"/>
          </a:solidFill>
          <a:ln w="6350">
            <a:solidFill>
              <a:srgbClr val="000000"/>
            </a:solidFill>
            <a:round/>
            <a:headEnd/>
            <a:tailEnd/>
          </a:ln>
        </xdr:spPr>
      </xdr:sp>
      <xdr:sp macro="" textlink="">
        <xdr:nvSpPr>
          <xdr:cNvPr id="571" name="Arc 250">
            <a:extLst>
              <a:ext uri="{FF2B5EF4-FFF2-40B4-BE49-F238E27FC236}">
                <a16:creationId xmlns:a16="http://schemas.microsoft.com/office/drawing/2014/main" xmlns="" id="{B067B61A-B199-4CC2-9452-E78D0FD49F0D}"/>
              </a:ext>
            </a:extLst>
          </xdr:cNvPr>
          <xdr:cNvSpPr>
            <a:spLocks/>
          </xdr:cNvSpPr>
        </xdr:nvSpPr>
        <xdr:spPr bwMode="auto">
          <a:xfrm>
            <a:off x="4301108" y="2764930"/>
            <a:ext cx="70467" cy="71374"/>
          </a:xfrm>
          <a:custGeom>
            <a:avLst/>
            <a:gdLst>
              <a:gd name="G0" fmla="+- 21600 0 0"/>
              <a:gd name="G1" fmla="+- 21600 0 0"/>
              <a:gd name="G2" fmla="+- 21600 0 0"/>
              <a:gd name="T0" fmla="*/ 1 w 21696"/>
              <a:gd name="T1" fmla="*/ 21791 h 21791"/>
              <a:gd name="T2" fmla="*/ 21696 w 21696"/>
              <a:gd name="T3" fmla="*/ 0 h 21791"/>
              <a:gd name="T4" fmla="*/ 21600 w 21696"/>
              <a:gd name="T5" fmla="*/ 21600 h 21791"/>
            </a:gdLst>
            <a:ahLst/>
            <a:cxnLst>
              <a:cxn ang="0">
                <a:pos x="T0" y="T1"/>
              </a:cxn>
              <a:cxn ang="0">
                <a:pos x="T2" y="T3"/>
              </a:cxn>
              <a:cxn ang="0">
                <a:pos x="T4" y="T5"/>
              </a:cxn>
            </a:cxnLst>
            <a:rect l="0" t="0" r="r" b="b"/>
            <a:pathLst>
              <a:path w="21696" h="21791" fill="none" extrusionOk="0">
                <a:moveTo>
                  <a:pt x="0" y="21791"/>
                </a:moveTo>
                <a:cubicBezTo>
                  <a:pt x="0" y="21727"/>
                  <a:pt x="0" y="21663"/>
                  <a:pt x="0" y="21600"/>
                </a:cubicBezTo>
                <a:cubicBezTo>
                  <a:pt x="0" y="9670"/>
                  <a:pt x="9670" y="0"/>
                  <a:pt x="21600" y="0"/>
                </a:cubicBezTo>
                <a:cubicBezTo>
                  <a:pt x="21631" y="0"/>
                  <a:pt x="21663" y="0"/>
                  <a:pt x="21695" y="0"/>
                </a:cubicBezTo>
              </a:path>
              <a:path w="21696" h="21791" stroke="0" extrusionOk="0">
                <a:moveTo>
                  <a:pt x="0" y="21791"/>
                </a:moveTo>
                <a:cubicBezTo>
                  <a:pt x="0" y="21727"/>
                  <a:pt x="0" y="21663"/>
                  <a:pt x="0" y="21600"/>
                </a:cubicBezTo>
                <a:cubicBezTo>
                  <a:pt x="0" y="9670"/>
                  <a:pt x="9670" y="0"/>
                  <a:pt x="21600" y="0"/>
                </a:cubicBezTo>
                <a:cubicBezTo>
                  <a:pt x="21631" y="0"/>
                  <a:pt x="21663" y="0"/>
                  <a:pt x="21695" y="0"/>
                </a:cubicBezTo>
                <a:lnTo>
                  <a:pt x="21600" y="21600"/>
                </a:lnTo>
                <a:close/>
              </a:path>
            </a:pathLst>
          </a:custGeom>
          <a:solidFill>
            <a:srgbClr val="FFFFFF"/>
          </a:solidFill>
          <a:ln w="6350">
            <a:solidFill>
              <a:srgbClr val="000000"/>
            </a:solidFill>
            <a:round/>
            <a:headEnd/>
            <a:tailEnd/>
          </a:ln>
        </xdr:spPr>
      </xdr:sp>
      <xdr:sp macro="" textlink="">
        <xdr:nvSpPr>
          <xdr:cNvPr id="572" name="Arc 249">
            <a:extLst>
              <a:ext uri="{FF2B5EF4-FFF2-40B4-BE49-F238E27FC236}">
                <a16:creationId xmlns:a16="http://schemas.microsoft.com/office/drawing/2014/main" xmlns="" id="{7E1BB3B1-F7AE-496D-BD28-0A986EB06BD1}"/>
              </a:ext>
            </a:extLst>
          </xdr:cNvPr>
          <xdr:cNvSpPr>
            <a:spLocks/>
          </xdr:cNvSpPr>
        </xdr:nvSpPr>
        <xdr:spPr bwMode="auto">
          <a:xfrm>
            <a:off x="4371575" y="2764930"/>
            <a:ext cx="70467" cy="71374"/>
          </a:xfrm>
          <a:custGeom>
            <a:avLst/>
            <a:gdLst>
              <a:gd name="G0" fmla="+- 0 0 0"/>
              <a:gd name="G1" fmla="+- 21600 0 0"/>
              <a:gd name="G2" fmla="+- 21600 0 0"/>
              <a:gd name="T0" fmla="*/ 96 w 21600"/>
              <a:gd name="T1" fmla="*/ 0 h 21789"/>
              <a:gd name="T2" fmla="*/ 21599 w 21600"/>
              <a:gd name="T3" fmla="*/ 21789 h 21789"/>
              <a:gd name="T4" fmla="*/ 0 w 21600"/>
              <a:gd name="T5" fmla="*/ 21600 h 21789"/>
            </a:gdLst>
            <a:ahLst/>
            <a:cxnLst>
              <a:cxn ang="0">
                <a:pos x="T0" y="T1"/>
              </a:cxn>
              <a:cxn ang="0">
                <a:pos x="T2" y="T3"/>
              </a:cxn>
              <a:cxn ang="0">
                <a:pos x="T4" y="T5"/>
              </a:cxn>
            </a:cxnLst>
            <a:rect l="0" t="0" r="r" b="b"/>
            <a:pathLst>
              <a:path w="21600" h="21789" fill="none" extrusionOk="0">
                <a:moveTo>
                  <a:pt x="95" y="0"/>
                </a:moveTo>
                <a:cubicBezTo>
                  <a:pt x="11987" y="53"/>
                  <a:pt x="21600" y="9708"/>
                  <a:pt x="21600" y="21600"/>
                </a:cubicBezTo>
                <a:cubicBezTo>
                  <a:pt x="21600" y="21663"/>
                  <a:pt x="21599" y="21726"/>
                  <a:pt x="21599" y="21789"/>
                </a:cubicBezTo>
              </a:path>
              <a:path w="21600" h="21789" stroke="0" extrusionOk="0">
                <a:moveTo>
                  <a:pt x="95" y="0"/>
                </a:moveTo>
                <a:cubicBezTo>
                  <a:pt x="11987" y="53"/>
                  <a:pt x="21600" y="9708"/>
                  <a:pt x="21600" y="21600"/>
                </a:cubicBezTo>
                <a:cubicBezTo>
                  <a:pt x="21600" y="21663"/>
                  <a:pt x="21599" y="21726"/>
                  <a:pt x="21599" y="21789"/>
                </a:cubicBezTo>
                <a:lnTo>
                  <a:pt x="0" y="21600"/>
                </a:lnTo>
                <a:close/>
              </a:path>
            </a:pathLst>
          </a:custGeom>
          <a:solidFill>
            <a:srgbClr val="FFFFFF"/>
          </a:solidFill>
          <a:ln w="6350">
            <a:solidFill>
              <a:srgbClr val="000000"/>
            </a:solidFill>
            <a:round/>
            <a:headEnd/>
            <a:tailEnd/>
          </a:ln>
        </xdr:spPr>
      </xdr:sp>
      <xdr:sp macro="" textlink="">
        <xdr:nvSpPr>
          <xdr:cNvPr id="573" name="Freeform 248">
            <a:extLst>
              <a:ext uri="{FF2B5EF4-FFF2-40B4-BE49-F238E27FC236}">
                <a16:creationId xmlns:a16="http://schemas.microsoft.com/office/drawing/2014/main" xmlns="" id="{BF5A9FA4-FBBC-4E00-9C93-F52039EF0C12}"/>
              </a:ext>
            </a:extLst>
          </xdr:cNvPr>
          <xdr:cNvSpPr>
            <a:spLocks/>
          </xdr:cNvSpPr>
        </xdr:nvSpPr>
        <xdr:spPr bwMode="auto">
          <a:xfrm>
            <a:off x="4444581"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solidFill>
            <a:srgbClr val="FFFFFF"/>
          </a:solidFill>
          <a:ln w="6350">
            <a:solidFill>
              <a:srgbClr val="000000"/>
            </a:solidFill>
            <a:round/>
            <a:headEnd/>
            <a:tailEnd/>
          </a:ln>
        </xdr:spPr>
      </xdr:sp>
      <xdr:sp macro="" textlink="">
        <xdr:nvSpPr>
          <xdr:cNvPr id="574" name="Arc 247">
            <a:extLst>
              <a:ext uri="{FF2B5EF4-FFF2-40B4-BE49-F238E27FC236}">
                <a16:creationId xmlns:a16="http://schemas.microsoft.com/office/drawing/2014/main" xmlns="" id="{492BB48F-F793-41D1-A2E9-A5A4DACCDF28}"/>
              </a:ext>
            </a:extLst>
          </xdr:cNvPr>
          <xdr:cNvSpPr>
            <a:spLocks/>
          </xdr:cNvSpPr>
        </xdr:nvSpPr>
        <xdr:spPr bwMode="auto">
          <a:xfrm>
            <a:off x="4371575" y="2908314"/>
            <a:ext cx="70467" cy="71374"/>
          </a:xfrm>
          <a:custGeom>
            <a:avLst/>
            <a:gdLst>
              <a:gd name="G0" fmla="+- 0 0 0"/>
              <a:gd name="G1" fmla="+- 0 0 0"/>
              <a:gd name="G2" fmla="+- 21600 0 0"/>
              <a:gd name="T0" fmla="*/ 21600 w 21600"/>
              <a:gd name="T1" fmla="*/ 94 h 21600"/>
              <a:gd name="T2" fmla="*/ 95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599" y="93"/>
                </a:moveTo>
                <a:cubicBezTo>
                  <a:pt x="21548" y="11949"/>
                  <a:pt x="11950" y="21547"/>
                  <a:pt x="94" y="21599"/>
                </a:cubicBezTo>
              </a:path>
              <a:path w="21600" h="21600" stroke="0" extrusionOk="0">
                <a:moveTo>
                  <a:pt x="21599" y="93"/>
                </a:moveTo>
                <a:cubicBezTo>
                  <a:pt x="21548" y="11949"/>
                  <a:pt x="11950" y="21547"/>
                  <a:pt x="94" y="21599"/>
                </a:cubicBezTo>
                <a:lnTo>
                  <a:pt x="0" y="0"/>
                </a:lnTo>
                <a:close/>
              </a:path>
            </a:pathLst>
          </a:custGeom>
          <a:solidFill>
            <a:srgbClr val="FFFFFF"/>
          </a:solidFill>
          <a:ln w="6350">
            <a:solidFill>
              <a:srgbClr val="000000"/>
            </a:solidFill>
            <a:round/>
            <a:headEnd/>
            <a:tailEnd/>
          </a:ln>
        </xdr:spPr>
      </xdr:sp>
      <xdr:sp macro="" textlink="">
        <xdr:nvSpPr>
          <xdr:cNvPr id="575" name="Freeform 246">
            <a:extLst>
              <a:ext uri="{FF2B5EF4-FFF2-40B4-BE49-F238E27FC236}">
                <a16:creationId xmlns:a16="http://schemas.microsoft.com/office/drawing/2014/main" xmlns="" id="{F8C15C14-1E2F-457A-BE27-7555F515CDF4}"/>
              </a:ext>
            </a:extLst>
          </xdr:cNvPr>
          <xdr:cNvSpPr>
            <a:spLocks/>
          </xdr:cNvSpPr>
        </xdr:nvSpPr>
        <xdr:spPr bwMode="auto">
          <a:xfrm>
            <a:off x="4300473"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solidFill>
            <a:srgbClr val="FFFFFF"/>
          </a:solidFill>
          <a:ln w="6350">
            <a:solidFill>
              <a:srgbClr val="000000"/>
            </a:solidFill>
            <a:round/>
            <a:headEnd/>
            <a:tailEnd/>
          </a:ln>
        </xdr:spPr>
      </xdr:sp>
      <xdr:sp macro="" textlink="">
        <xdr:nvSpPr>
          <xdr:cNvPr id="576" name="Arc 245">
            <a:extLst>
              <a:ext uri="{FF2B5EF4-FFF2-40B4-BE49-F238E27FC236}">
                <a16:creationId xmlns:a16="http://schemas.microsoft.com/office/drawing/2014/main" xmlns="" id="{00AED1B3-9FF8-4326-9383-ED16027D4C58}"/>
              </a:ext>
            </a:extLst>
          </xdr:cNvPr>
          <xdr:cNvSpPr>
            <a:spLocks/>
          </xdr:cNvSpPr>
        </xdr:nvSpPr>
        <xdr:spPr bwMode="auto">
          <a:xfrm>
            <a:off x="4301108" y="2908314"/>
            <a:ext cx="70467" cy="71374"/>
          </a:xfrm>
          <a:custGeom>
            <a:avLst/>
            <a:gdLst>
              <a:gd name="G0" fmla="+- 21600 0 0"/>
              <a:gd name="G1" fmla="+- 0 0 0"/>
              <a:gd name="G2" fmla="+- 21600 0 0"/>
              <a:gd name="T0" fmla="*/ 21695 w 21695"/>
              <a:gd name="T1" fmla="*/ 21600 h 21600"/>
              <a:gd name="T2" fmla="*/ 0 w 21695"/>
              <a:gd name="T3" fmla="*/ 95 h 21600"/>
              <a:gd name="T4" fmla="*/ 21600 w 21695"/>
              <a:gd name="T5" fmla="*/ 0 h 21600"/>
            </a:gdLst>
            <a:ahLst/>
            <a:cxnLst>
              <a:cxn ang="0">
                <a:pos x="T0" y="T1"/>
              </a:cxn>
              <a:cxn ang="0">
                <a:pos x="T2" y="T3"/>
              </a:cxn>
              <a:cxn ang="0">
                <a:pos x="T4" y="T5"/>
              </a:cxn>
            </a:cxnLst>
            <a:rect l="0" t="0" r="r" b="b"/>
            <a:pathLst>
              <a:path w="21695" h="21600" fill="none" extrusionOk="0">
                <a:moveTo>
                  <a:pt x="21694" y="21599"/>
                </a:moveTo>
                <a:cubicBezTo>
                  <a:pt x="21663" y="21599"/>
                  <a:pt x="21631" y="21599"/>
                  <a:pt x="21600" y="21599"/>
                </a:cubicBezTo>
                <a:cubicBezTo>
                  <a:pt x="9707" y="21599"/>
                  <a:pt x="52" y="11987"/>
                  <a:pt x="0" y="94"/>
                </a:cubicBezTo>
              </a:path>
              <a:path w="21695" h="21600" stroke="0" extrusionOk="0">
                <a:moveTo>
                  <a:pt x="21694" y="21599"/>
                </a:moveTo>
                <a:cubicBezTo>
                  <a:pt x="21663" y="21599"/>
                  <a:pt x="21631" y="21599"/>
                  <a:pt x="21600" y="21599"/>
                </a:cubicBezTo>
                <a:cubicBezTo>
                  <a:pt x="9707" y="21599"/>
                  <a:pt x="52" y="11987"/>
                  <a:pt x="0" y="94"/>
                </a:cubicBezTo>
                <a:lnTo>
                  <a:pt x="21600" y="0"/>
                </a:lnTo>
                <a:close/>
              </a:path>
            </a:pathLst>
          </a:custGeom>
          <a:solidFill>
            <a:srgbClr val="FFFFFF"/>
          </a:solidFill>
          <a:ln w="6350">
            <a:solidFill>
              <a:srgbClr val="000000"/>
            </a:solidFill>
            <a:round/>
            <a:headEnd/>
            <a:tailEnd/>
          </a:ln>
        </xdr:spPr>
      </xdr:sp>
      <xdr:sp macro="" textlink="">
        <xdr:nvSpPr>
          <xdr:cNvPr id="577" name="Arc 244">
            <a:extLst>
              <a:ext uri="{FF2B5EF4-FFF2-40B4-BE49-F238E27FC236}">
                <a16:creationId xmlns:a16="http://schemas.microsoft.com/office/drawing/2014/main" xmlns="" id="{6E031D2C-0653-40EB-B841-7257C05743B7}"/>
              </a:ext>
            </a:extLst>
          </xdr:cNvPr>
          <xdr:cNvSpPr>
            <a:spLocks/>
          </xdr:cNvSpPr>
        </xdr:nvSpPr>
        <xdr:spPr bwMode="auto">
          <a:xfrm>
            <a:off x="2788291" y="2764930"/>
            <a:ext cx="71102" cy="71374"/>
          </a:xfrm>
          <a:custGeom>
            <a:avLst/>
            <a:gdLst>
              <a:gd name="G0" fmla="+- 21600 0 0"/>
              <a:gd name="G1" fmla="+- 21600 0 0"/>
              <a:gd name="G2" fmla="+- 21600 0 0"/>
              <a:gd name="T0" fmla="*/ 1 w 21791"/>
              <a:gd name="T1" fmla="*/ 21793 h 21793"/>
              <a:gd name="T2" fmla="*/ 21791 w 21791"/>
              <a:gd name="T3" fmla="*/ 1 h 21793"/>
              <a:gd name="T4" fmla="*/ 21600 w 21791"/>
              <a:gd name="T5" fmla="*/ 21600 h 21793"/>
            </a:gdLst>
            <a:ahLst/>
            <a:cxnLst>
              <a:cxn ang="0">
                <a:pos x="T0" y="T1"/>
              </a:cxn>
              <a:cxn ang="0">
                <a:pos x="T2" y="T3"/>
              </a:cxn>
              <a:cxn ang="0">
                <a:pos x="T4" y="T5"/>
              </a:cxn>
            </a:cxnLst>
            <a:rect l="0" t="0" r="r" b="b"/>
            <a:pathLst>
              <a:path w="21791" h="21793" fill="none" extrusionOk="0">
                <a:moveTo>
                  <a:pt x="0" y="21793"/>
                </a:moveTo>
                <a:cubicBezTo>
                  <a:pt x="0" y="21728"/>
                  <a:pt x="0" y="21664"/>
                  <a:pt x="0" y="21600"/>
                </a:cubicBezTo>
                <a:cubicBezTo>
                  <a:pt x="0" y="9670"/>
                  <a:pt x="9670" y="0"/>
                  <a:pt x="21600" y="0"/>
                </a:cubicBezTo>
                <a:cubicBezTo>
                  <a:pt x="21663" y="0"/>
                  <a:pt x="21727" y="0"/>
                  <a:pt x="21791" y="0"/>
                </a:cubicBezTo>
              </a:path>
              <a:path w="21791" h="21793" stroke="0" extrusionOk="0">
                <a:moveTo>
                  <a:pt x="0" y="21793"/>
                </a:moveTo>
                <a:cubicBezTo>
                  <a:pt x="0" y="21728"/>
                  <a:pt x="0" y="21664"/>
                  <a:pt x="0" y="21600"/>
                </a:cubicBezTo>
                <a:cubicBezTo>
                  <a:pt x="0" y="9670"/>
                  <a:pt x="9670" y="0"/>
                  <a:pt x="21600" y="0"/>
                </a:cubicBezTo>
                <a:cubicBezTo>
                  <a:pt x="21663" y="0"/>
                  <a:pt x="21727" y="0"/>
                  <a:pt x="21791" y="0"/>
                </a:cubicBezTo>
                <a:lnTo>
                  <a:pt x="21600" y="21600"/>
                </a:lnTo>
                <a:close/>
              </a:path>
            </a:pathLst>
          </a:custGeom>
          <a:solidFill>
            <a:srgbClr val="FFFFFF"/>
          </a:solidFill>
          <a:ln w="6350">
            <a:solidFill>
              <a:srgbClr val="000000"/>
            </a:solidFill>
            <a:round/>
            <a:headEnd/>
            <a:tailEnd/>
          </a:ln>
        </xdr:spPr>
      </xdr:sp>
      <xdr:sp macro="" textlink="">
        <xdr:nvSpPr>
          <xdr:cNvPr id="578" name="Arc 243">
            <a:extLst>
              <a:ext uri="{FF2B5EF4-FFF2-40B4-BE49-F238E27FC236}">
                <a16:creationId xmlns:a16="http://schemas.microsoft.com/office/drawing/2014/main" xmlns="" id="{0073F0B5-5BA1-4F41-869C-925F3C67CCA9}"/>
              </a:ext>
            </a:extLst>
          </xdr:cNvPr>
          <xdr:cNvSpPr>
            <a:spLocks/>
          </xdr:cNvSpPr>
        </xdr:nvSpPr>
        <xdr:spPr bwMode="auto">
          <a:xfrm>
            <a:off x="2859393" y="2764930"/>
            <a:ext cx="71102" cy="71374"/>
          </a:xfrm>
          <a:custGeom>
            <a:avLst/>
            <a:gdLst>
              <a:gd name="G0" fmla="+- 0 0 0"/>
              <a:gd name="G1" fmla="+- 21599 0 0"/>
              <a:gd name="G2" fmla="+- 21600 0 0"/>
              <a:gd name="T0" fmla="*/ 191 w 21600"/>
              <a:gd name="T1" fmla="*/ 0 h 21788"/>
              <a:gd name="T2" fmla="*/ 21599 w 21600"/>
              <a:gd name="T3" fmla="*/ 21788 h 21788"/>
              <a:gd name="T4" fmla="*/ 0 w 21600"/>
              <a:gd name="T5" fmla="*/ 21599 h 21788"/>
            </a:gdLst>
            <a:ahLst/>
            <a:cxnLst>
              <a:cxn ang="0">
                <a:pos x="T0" y="T1"/>
              </a:cxn>
              <a:cxn ang="0">
                <a:pos x="T2" y="T3"/>
              </a:cxn>
              <a:cxn ang="0">
                <a:pos x="T4" y="T5"/>
              </a:cxn>
            </a:cxnLst>
            <a:rect l="0" t="0" r="r" b="b"/>
            <a:pathLst>
              <a:path w="21600" h="21788" fill="none" extrusionOk="0">
                <a:moveTo>
                  <a:pt x="191" y="-1"/>
                </a:moveTo>
                <a:cubicBezTo>
                  <a:pt x="12045" y="104"/>
                  <a:pt x="21600" y="9744"/>
                  <a:pt x="21600" y="21599"/>
                </a:cubicBezTo>
                <a:cubicBezTo>
                  <a:pt x="21600" y="21662"/>
                  <a:pt x="21599" y="21725"/>
                  <a:pt x="21599" y="21788"/>
                </a:cubicBezTo>
              </a:path>
              <a:path w="21600" h="21788" stroke="0" extrusionOk="0">
                <a:moveTo>
                  <a:pt x="191" y="-1"/>
                </a:moveTo>
                <a:cubicBezTo>
                  <a:pt x="12045" y="104"/>
                  <a:pt x="21600" y="9744"/>
                  <a:pt x="21600" y="21599"/>
                </a:cubicBezTo>
                <a:cubicBezTo>
                  <a:pt x="21600" y="21662"/>
                  <a:pt x="21599" y="21725"/>
                  <a:pt x="21599" y="21788"/>
                </a:cubicBezTo>
                <a:lnTo>
                  <a:pt x="0" y="21599"/>
                </a:lnTo>
                <a:close/>
              </a:path>
            </a:pathLst>
          </a:custGeom>
          <a:solidFill>
            <a:srgbClr val="FFFFFF"/>
          </a:solidFill>
          <a:ln w="6350">
            <a:solidFill>
              <a:srgbClr val="000000"/>
            </a:solidFill>
            <a:round/>
            <a:headEnd/>
            <a:tailEnd/>
          </a:ln>
        </xdr:spPr>
      </xdr:sp>
      <xdr:sp macro="" textlink="">
        <xdr:nvSpPr>
          <xdr:cNvPr id="579" name="Freeform 242">
            <a:extLst>
              <a:ext uri="{FF2B5EF4-FFF2-40B4-BE49-F238E27FC236}">
                <a16:creationId xmlns:a16="http://schemas.microsoft.com/office/drawing/2014/main" xmlns="" id="{1BE9C2CC-0F86-47DC-BB35-7DD3E5ABC411}"/>
              </a:ext>
            </a:extLst>
          </xdr:cNvPr>
          <xdr:cNvSpPr>
            <a:spLocks/>
          </xdr:cNvSpPr>
        </xdr:nvSpPr>
        <xdr:spPr bwMode="auto">
          <a:xfrm>
            <a:off x="2932399"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0" name="Arc 241">
            <a:extLst>
              <a:ext uri="{FF2B5EF4-FFF2-40B4-BE49-F238E27FC236}">
                <a16:creationId xmlns:a16="http://schemas.microsoft.com/office/drawing/2014/main" xmlns="" id="{59D8BE49-867C-4FC6-A56A-B3E63735DD13}"/>
              </a:ext>
            </a:extLst>
          </xdr:cNvPr>
          <xdr:cNvSpPr>
            <a:spLocks/>
          </xdr:cNvSpPr>
        </xdr:nvSpPr>
        <xdr:spPr bwMode="auto">
          <a:xfrm>
            <a:off x="2859393" y="2908314"/>
            <a:ext cx="71102" cy="70736"/>
          </a:xfrm>
          <a:custGeom>
            <a:avLst/>
            <a:gdLst>
              <a:gd name="G0" fmla="+- 0 0 0"/>
              <a:gd name="G1" fmla="+- 0 0 0"/>
              <a:gd name="G2" fmla="+- 21600 0 0"/>
              <a:gd name="T0" fmla="*/ 21600 w 21600"/>
              <a:gd name="T1" fmla="*/ 94 h 21599"/>
              <a:gd name="T2" fmla="*/ 189 w 21600"/>
              <a:gd name="T3" fmla="*/ 21599 h 21599"/>
              <a:gd name="T4" fmla="*/ 0 w 21600"/>
              <a:gd name="T5" fmla="*/ 0 h 21599"/>
            </a:gdLst>
            <a:ahLst/>
            <a:cxnLst>
              <a:cxn ang="0">
                <a:pos x="T0" y="T1"/>
              </a:cxn>
              <a:cxn ang="0">
                <a:pos x="T2" y="T3"/>
              </a:cxn>
              <a:cxn ang="0">
                <a:pos x="T4" y="T5"/>
              </a:cxn>
            </a:cxnLst>
            <a:rect l="0" t="0" r="r" b="b"/>
            <a:pathLst>
              <a:path w="21600" h="21599" fill="none" extrusionOk="0">
                <a:moveTo>
                  <a:pt x="21599" y="93"/>
                </a:moveTo>
                <a:cubicBezTo>
                  <a:pt x="21548" y="11912"/>
                  <a:pt x="12007" y="21495"/>
                  <a:pt x="189" y="21599"/>
                </a:cubicBezTo>
              </a:path>
              <a:path w="21600" h="21599" stroke="0" extrusionOk="0">
                <a:moveTo>
                  <a:pt x="21599" y="93"/>
                </a:moveTo>
                <a:cubicBezTo>
                  <a:pt x="21548" y="11912"/>
                  <a:pt x="12007" y="21495"/>
                  <a:pt x="189" y="21599"/>
                </a:cubicBezTo>
                <a:lnTo>
                  <a:pt x="0" y="0"/>
                </a:lnTo>
                <a:close/>
              </a:path>
            </a:pathLst>
          </a:custGeom>
          <a:solidFill>
            <a:srgbClr val="FFFFFF"/>
          </a:solidFill>
          <a:ln w="6350">
            <a:solidFill>
              <a:srgbClr val="000000"/>
            </a:solidFill>
            <a:round/>
            <a:headEnd/>
            <a:tailEnd/>
          </a:ln>
        </xdr:spPr>
      </xdr:sp>
      <xdr:sp macro="" textlink="">
        <xdr:nvSpPr>
          <xdr:cNvPr id="581" name="Freeform 240">
            <a:extLst>
              <a:ext uri="{FF2B5EF4-FFF2-40B4-BE49-F238E27FC236}">
                <a16:creationId xmlns:a16="http://schemas.microsoft.com/office/drawing/2014/main" xmlns="" id="{88BD0987-FA69-4D8F-99EE-1946DA6B9099}"/>
              </a:ext>
            </a:extLst>
          </xdr:cNvPr>
          <xdr:cNvSpPr>
            <a:spLocks/>
          </xdr:cNvSpPr>
        </xdr:nvSpPr>
        <xdr:spPr bwMode="auto">
          <a:xfrm>
            <a:off x="2788291"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2" name="Arc 239">
            <a:extLst>
              <a:ext uri="{FF2B5EF4-FFF2-40B4-BE49-F238E27FC236}">
                <a16:creationId xmlns:a16="http://schemas.microsoft.com/office/drawing/2014/main" xmlns="" id="{EFD1CAD1-9FA3-44BB-A963-7AF5D96EA78E}"/>
              </a:ext>
            </a:extLst>
          </xdr:cNvPr>
          <xdr:cNvSpPr>
            <a:spLocks/>
          </xdr:cNvSpPr>
        </xdr:nvSpPr>
        <xdr:spPr bwMode="auto">
          <a:xfrm>
            <a:off x="2788291" y="2908314"/>
            <a:ext cx="71102" cy="71374"/>
          </a:xfrm>
          <a:custGeom>
            <a:avLst/>
            <a:gdLst>
              <a:gd name="G0" fmla="+- 21600 0 0"/>
              <a:gd name="G1" fmla="+- 0 0 0"/>
              <a:gd name="G2" fmla="+- 21600 0 0"/>
              <a:gd name="T0" fmla="*/ 21789 w 21789"/>
              <a:gd name="T1" fmla="*/ 21599 h 21600"/>
              <a:gd name="T2" fmla="*/ 0 w 21789"/>
              <a:gd name="T3" fmla="*/ 96 h 21600"/>
              <a:gd name="T4" fmla="*/ 21600 w 21789"/>
              <a:gd name="T5" fmla="*/ 0 h 21600"/>
            </a:gdLst>
            <a:ahLst/>
            <a:cxnLst>
              <a:cxn ang="0">
                <a:pos x="T0" y="T1"/>
              </a:cxn>
              <a:cxn ang="0">
                <a:pos x="T2" y="T3"/>
              </a:cxn>
              <a:cxn ang="0">
                <a:pos x="T4" y="T5"/>
              </a:cxn>
            </a:cxnLst>
            <a:rect l="0" t="0" r="r" b="b"/>
            <a:pathLst>
              <a:path w="21789" h="21600" fill="none" extrusionOk="0">
                <a:moveTo>
                  <a:pt x="21789" y="21599"/>
                </a:moveTo>
                <a:cubicBezTo>
                  <a:pt x="21726" y="21599"/>
                  <a:pt x="21663" y="21599"/>
                  <a:pt x="21600" y="21599"/>
                </a:cubicBezTo>
                <a:cubicBezTo>
                  <a:pt x="9708" y="21599"/>
                  <a:pt x="53" y="11987"/>
                  <a:pt x="0" y="95"/>
                </a:cubicBezTo>
              </a:path>
              <a:path w="21789" h="21600" stroke="0" extrusionOk="0">
                <a:moveTo>
                  <a:pt x="21789" y="21599"/>
                </a:moveTo>
                <a:cubicBezTo>
                  <a:pt x="21726" y="21599"/>
                  <a:pt x="21663" y="21599"/>
                  <a:pt x="21600" y="21599"/>
                </a:cubicBezTo>
                <a:cubicBezTo>
                  <a:pt x="9708" y="21599"/>
                  <a:pt x="53" y="11987"/>
                  <a:pt x="0" y="95"/>
                </a:cubicBezTo>
                <a:lnTo>
                  <a:pt x="21600" y="0"/>
                </a:lnTo>
                <a:close/>
              </a:path>
            </a:pathLst>
          </a:custGeom>
          <a:solidFill>
            <a:srgbClr val="FFFFFF"/>
          </a:solidFill>
          <a:ln w="6350">
            <a:solidFill>
              <a:srgbClr val="000000"/>
            </a:solidFill>
            <a:round/>
            <a:headEnd/>
            <a:tailEnd/>
          </a:ln>
        </xdr:spPr>
      </xdr:sp>
      <xdr:sp macro="" textlink="">
        <xdr:nvSpPr>
          <xdr:cNvPr id="583" name="Arc 238">
            <a:extLst>
              <a:ext uri="{FF2B5EF4-FFF2-40B4-BE49-F238E27FC236}">
                <a16:creationId xmlns:a16="http://schemas.microsoft.com/office/drawing/2014/main" xmlns="" id="{B268AADB-1B6D-421F-BCE0-84FC2AB2C068}"/>
              </a:ext>
            </a:extLst>
          </xdr:cNvPr>
          <xdr:cNvSpPr>
            <a:spLocks/>
          </xdr:cNvSpPr>
        </xdr:nvSpPr>
        <xdr:spPr bwMode="auto">
          <a:xfrm>
            <a:off x="2572447" y="2764930"/>
            <a:ext cx="71102" cy="71374"/>
          </a:xfrm>
          <a:custGeom>
            <a:avLst/>
            <a:gdLst>
              <a:gd name="G0" fmla="+- 21600 0 0"/>
              <a:gd name="G1" fmla="+- 21600 0 0"/>
              <a:gd name="G2" fmla="+- 21600 0 0"/>
              <a:gd name="T0" fmla="*/ 1 w 21791"/>
              <a:gd name="T1" fmla="*/ 21792 h 21792"/>
              <a:gd name="T2" fmla="*/ 21791 w 21791"/>
              <a:gd name="T3" fmla="*/ 1 h 21792"/>
              <a:gd name="T4" fmla="*/ 21600 w 21791"/>
              <a:gd name="T5" fmla="*/ 21600 h 21792"/>
            </a:gdLst>
            <a:ahLst/>
            <a:cxnLst>
              <a:cxn ang="0">
                <a:pos x="T0" y="T1"/>
              </a:cxn>
              <a:cxn ang="0">
                <a:pos x="T2" y="T3"/>
              </a:cxn>
              <a:cxn ang="0">
                <a:pos x="T4" y="T5"/>
              </a:cxn>
            </a:cxnLst>
            <a:rect l="0" t="0" r="r" b="b"/>
            <a:pathLst>
              <a:path w="21791" h="21792" fill="none" extrusionOk="0">
                <a:moveTo>
                  <a:pt x="0" y="21792"/>
                </a:moveTo>
                <a:cubicBezTo>
                  <a:pt x="0" y="21728"/>
                  <a:pt x="0" y="21664"/>
                  <a:pt x="0" y="21600"/>
                </a:cubicBezTo>
                <a:cubicBezTo>
                  <a:pt x="0" y="9670"/>
                  <a:pt x="9670" y="0"/>
                  <a:pt x="21600" y="0"/>
                </a:cubicBezTo>
                <a:cubicBezTo>
                  <a:pt x="21663" y="0"/>
                  <a:pt x="21727" y="0"/>
                  <a:pt x="21791" y="0"/>
                </a:cubicBezTo>
              </a:path>
              <a:path w="21791" h="21792" stroke="0" extrusionOk="0">
                <a:moveTo>
                  <a:pt x="0" y="21792"/>
                </a:moveTo>
                <a:cubicBezTo>
                  <a:pt x="0" y="21728"/>
                  <a:pt x="0" y="21664"/>
                  <a:pt x="0" y="21600"/>
                </a:cubicBezTo>
                <a:cubicBezTo>
                  <a:pt x="0" y="9670"/>
                  <a:pt x="9670" y="0"/>
                  <a:pt x="21600" y="0"/>
                </a:cubicBezTo>
                <a:cubicBezTo>
                  <a:pt x="21663" y="0"/>
                  <a:pt x="21727" y="0"/>
                  <a:pt x="21791" y="0"/>
                </a:cubicBezTo>
                <a:lnTo>
                  <a:pt x="21600" y="21600"/>
                </a:lnTo>
                <a:close/>
              </a:path>
            </a:pathLst>
          </a:custGeom>
          <a:solidFill>
            <a:srgbClr val="FFFFFF"/>
          </a:solidFill>
          <a:ln w="6350">
            <a:solidFill>
              <a:srgbClr val="000000"/>
            </a:solidFill>
            <a:round/>
            <a:headEnd/>
            <a:tailEnd/>
          </a:ln>
        </xdr:spPr>
      </xdr:sp>
      <xdr:sp macro="" textlink="">
        <xdr:nvSpPr>
          <xdr:cNvPr id="584" name="Arc 237">
            <a:extLst>
              <a:ext uri="{FF2B5EF4-FFF2-40B4-BE49-F238E27FC236}">
                <a16:creationId xmlns:a16="http://schemas.microsoft.com/office/drawing/2014/main" xmlns="" id="{D30C8C7A-EC2D-4991-859A-A9B2DE169DB3}"/>
              </a:ext>
            </a:extLst>
          </xdr:cNvPr>
          <xdr:cNvSpPr>
            <a:spLocks/>
          </xdr:cNvSpPr>
        </xdr:nvSpPr>
        <xdr:spPr bwMode="auto">
          <a:xfrm>
            <a:off x="2643548" y="2764930"/>
            <a:ext cx="71102" cy="71374"/>
          </a:xfrm>
          <a:custGeom>
            <a:avLst/>
            <a:gdLst>
              <a:gd name="G0" fmla="+- 0 0 0"/>
              <a:gd name="G1" fmla="+- 21599 0 0"/>
              <a:gd name="G2" fmla="+- 21600 0 0"/>
              <a:gd name="T0" fmla="*/ 191 w 21600"/>
              <a:gd name="T1" fmla="*/ 0 h 21788"/>
              <a:gd name="T2" fmla="*/ 21599 w 21600"/>
              <a:gd name="T3" fmla="*/ 21788 h 21788"/>
              <a:gd name="T4" fmla="*/ 0 w 21600"/>
              <a:gd name="T5" fmla="*/ 21599 h 21788"/>
            </a:gdLst>
            <a:ahLst/>
            <a:cxnLst>
              <a:cxn ang="0">
                <a:pos x="T0" y="T1"/>
              </a:cxn>
              <a:cxn ang="0">
                <a:pos x="T2" y="T3"/>
              </a:cxn>
              <a:cxn ang="0">
                <a:pos x="T4" y="T5"/>
              </a:cxn>
            </a:cxnLst>
            <a:rect l="0" t="0" r="r" b="b"/>
            <a:pathLst>
              <a:path w="21600" h="21788" fill="none" extrusionOk="0">
                <a:moveTo>
                  <a:pt x="191" y="-1"/>
                </a:moveTo>
                <a:cubicBezTo>
                  <a:pt x="12045" y="104"/>
                  <a:pt x="21600" y="9744"/>
                  <a:pt x="21600" y="21599"/>
                </a:cubicBezTo>
                <a:cubicBezTo>
                  <a:pt x="21600" y="21662"/>
                  <a:pt x="21599" y="21725"/>
                  <a:pt x="21599" y="21788"/>
                </a:cubicBezTo>
              </a:path>
              <a:path w="21600" h="21788" stroke="0" extrusionOk="0">
                <a:moveTo>
                  <a:pt x="191" y="-1"/>
                </a:moveTo>
                <a:cubicBezTo>
                  <a:pt x="12045" y="104"/>
                  <a:pt x="21600" y="9744"/>
                  <a:pt x="21600" y="21599"/>
                </a:cubicBezTo>
                <a:cubicBezTo>
                  <a:pt x="21600" y="21662"/>
                  <a:pt x="21599" y="21725"/>
                  <a:pt x="21599" y="21788"/>
                </a:cubicBezTo>
                <a:lnTo>
                  <a:pt x="0" y="21599"/>
                </a:lnTo>
                <a:close/>
              </a:path>
            </a:pathLst>
          </a:custGeom>
          <a:solidFill>
            <a:srgbClr val="FFFFFF"/>
          </a:solidFill>
          <a:ln w="6350">
            <a:solidFill>
              <a:srgbClr val="000000"/>
            </a:solidFill>
            <a:round/>
            <a:headEnd/>
            <a:tailEnd/>
          </a:ln>
        </xdr:spPr>
      </xdr:sp>
      <xdr:sp macro="" textlink="">
        <xdr:nvSpPr>
          <xdr:cNvPr id="585" name="Freeform 236">
            <a:extLst>
              <a:ext uri="{FF2B5EF4-FFF2-40B4-BE49-F238E27FC236}">
                <a16:creationId xmlns:a16="http://schemas.microsoft.com/office/drawing/2014/main" xmlns="" id="{69A42DE7-1D11-42CC-B26A-F5569BA4CB26}"/>
              </a:ext>
            </a:extLst>
          </xdr:cNvPr>
          <xdr:cNvSpPr>
            <a:spLocks/>
          </xdr:cNvSpPr>
        </xdr:nvSpPr>
        <xdr:spPr bwMode="auto">
          <a:xfrm>
            <a:off x="2716555"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6" name="Arc 235">
            <a:extLst>
              <a:ext uri="{FF2B5EF4-FFF2-40B4-BE49-F238E27FC236}">
                <a16:creationId xmlns:a16="http://schemas.microsoft.com/office/drawing/2014/main" xmlns="" id="{EC325FC2-9EBF-4933-BD80-5074600F75CB}"/>
              </a:ext>
            </a:extLst>
          </xdr:cNvPr>
          <xdr:cNvSpPr>
            <a:spLocks/>
          </xdr:cNvSpPr>
        </xdr:nvSpPr>
        <xdr:spPr bwMode="auto">
          <a:xfrm>
            <a:off x="2643548" y="2908314"/>
            <a:ext cx="71102" cy="70736"/>
          </a:xfrm>
          <a:custGeom>
            <a:avLst/>
            <a:gdLst>
              <a:gd name="G0" fmla="+- 0 0 0"/>
              <a:gd name="G1" fmla="+- 0 0 0"/>
              <a:gd name="G2" fmla="+- 21600 0 0"/>
              <a:gd name="T0" fmla="*/ 21600 w 21600"/>
              <a:gd name="T1" fmla="*/ 94 h 21599"/>
              <a:gd name="T2" fmla="*/ 189 w 21600"/>
              <a:gd name="T3" fmla="*/ 21599 h 21599"/>
              <a:gd name="T4" fmla="*/ 0 w 21600"/>
              <a:gd name="T5" fmla="*/ 0 h 21599"/>
            </a:gdLst>
            <a:ahLst/>
            <a:cxnLst>
              <a:cxn ang="0">
                <a:pos x="T0" y="T1"/>
              </a:cxn>
              <a:cxn ang="0">
                <a:pos x="T2" y="T3"/>
              </a:cxn>
              <a:cxn ang="0">
                <a:pos x="T4" y="T5"/>
              </a:cxn>
            </a:cxnLst>
            <a:rect l="0" t="0" r="r" b="b"/>
            <a:pathLst>
              <a:path w="21600" h="21599" fill="none" extrusionOk="0">
                <a:moveTo>
                  <a:pt x="21599" y="93"/>
                </a:moveTo>
                <a:cubicBezTo>
                  <a:pt x="21548" y="11912"/>
                  <a:pt x="12007" y="21495"/>
                  <a:pt x="189" y="21599"/>
                </a:cubicBezTo>
              </a:path>
              <a:path w="21600" h="21599" stroke="0" extrusionOk="0">
                <a:moveTo>
                  <a:pt x="21599" y="93"/>
                </a:moveTo>
                <a:cubicBezTo>
                  <a:pt x="21548" y="11912"/>
                  <a:pt x="12007" y="21495"/>
                  <a:pt x="189" y="21599"/>
                </a:cubicBezTo>
                <a:lnTo>
                  <a:pt x="0" y="0"/>
                </a:lnTo>
                <a:close/>
              </a:path>
            </a:pathLst>
          </a:custGeom>
          <a:solidFill>
            <a:srgbClr val="FFFFFF"/>
          </a:solidFill>
          <a:ln w="6350">
            <a:solidFill>
              <a:srgbClr val="000000"/>
            </a:solidFill>
            <a:round/>
            <a:headEnd/>
            <a:tailEnd/>
          </a:ln>
        </xdr:spPr>
      </xdr:sp>
      <xdr:sp macro="" textlink="">
        <xdr:nvSpPr>
          <xdr:cNvPr id="587" name="Freeform 234">
            <a:extLst>
              <a:ext uri="{FF2B5EF4-FFF2-40B4-BE49-F238E27FC236}">
                <a16:creationId xmlns:a16="http://schemas.microsoft.com/office/drawing/2014/main" xmlns="" id="{4714428E-43EC-409C-BCEA-E753805F616B}"/>
              </a:ext>
            </a:extLst>
          </xdr:cNvPr>
          <xdr:cNvSpPr>
            <a:spLocks/>
          </xdr:cNvSpPr>
        </xdr:nvSpPr>
        <xdr:spPr bwMode="auto">
          <a:xfrm>
            <a:off x="2572447"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8" name="Arc 233">
            <a:extLst>
              <a:ext uri="{FF2B5EF4-FFF2-40B4-BE49-F238E27FC236}">
                <a16:creationId xmlns:a16="http://schemas.microsoft.com/office/drawing/2014/main" xmlns="" id="{C4CCF2C5-19A8-448A-B55D-D15B8C0A4F2D}"/>
              </a:ext>
            </a:extLst>
          </xdr:cNvPr>
          <xdr:cNvSpPr>
            <a:spLocks/>
          </xdr:cNvSpPr>
        </xdr:nvSpPr>
        <xdr:spPr bwMode="auto">
          <a:xfrm>
            <a:off x="2572447" y="2908314"/>
            <a:ext cx="71102" cy="71374"/>
          </a:xfrm>
          <a:custGeom>
            <a:avLst/>
            <a:gdLst>
              <a:gd name="G0" fmla="+- 21600 0 0"/>
              <a:gd name="G1" fmla="+- 0 0 0"/>
              <a:gd name="G2" fmla="+- 21600 0 0"/>
              <a:gd name="T0" fmla="*/ 21789 w 21789"/>
              <a:gd name="T1" fmla="*/ 21599 h 21600"/>
              <a:gd name="T2" fmla="*/ 0 w 21789"/>
              <a:gd name="T3" fmla="*/ 96 h 21600"/>
              <a:gd name="T4" fmla="*/ 21600 w 21789"/>
              <a:gd name="T5" fmla="*/ 0 h 21600"/>
            </a:gdLst>
            <a:ahLst/>
            <a:cxnLst>
              <a:cxn ang="0">
                <a:pos x="T0" y="T1"/>
              </a:cxn>
              <a:cxn ang="0">
                <a:pos x="T2" y="T3"/>
              </a:cxn>
              <a:cxn ang="0">
                <a:pos x="T4" y="T5"/>
              </a:cxn>
            </a:cxnLst>
            <a:rect l="0" t="0" r="r" b="b"/>
            <a:pathLst>
              <a:path w="21789" h="21600" fill="none" extrusionOk="0">
                <a:moveTo>
                  <a:pt x="21789" y="21599"/>
                </a:moveTo>
                <a:cubicBezTo>
                  <a:pt x="21726" y="21599"/>
                  <a:pt x="21663" y="21599"/>
                  <a:pt x="21600" y="21599"/>
                </a:cubicBezTo>
                <a:cubicBezTo>
                  <a:pt x="9708" y="21599"/>
                  <a:pt x="53" y="11987"/>
                  <a:pt x="0" y="95"/>
                </a:cubicBezTo>
              </a:path>
              <a:path w="21789" h="21600" stroke="0" extrusionOk="0">
                <a:moveTo>
                  <a:pt x="21789" y="21599"/>
                </a:moveTo>
                <a:cubicBezTo>
                  <a:pt x="21726" y="21599"/>
                  <a:pt x="21663" y="21599"/>
                  <a:pt x="21600" y="21599"/>
                </a:cubicBezTo>
                <a:cubicBezTo>
                  <a:pt x="9708" y="21599"/>
                  <a:pt x="53" y="11987"/>
                  <a:pt x="0" y="95"/>
                </a:cubicBezTo>
                <a:lnTo>
                  <a:pt x="21600" y="0"/>
                </a:lnTo>
                <a:close/>
              </a:path>
            </a:pathLst>
          </a:custGeom>
          <a:solidFill>
            <a:srgbClr val="FFFFFF"/>
          </a:solidFill>
          <a:ln w="6350">
            <a:solidFill>
              <a:srgbClr val="000000"/>
            </a:solidFill>
            <a:round/>
            <a:headEnd/>
            <a:tailEnd/>
          </a:ln>
        </xdr:spPr>
      </xdr:sp>
      <xdr:sp macro="" textlink="">
        <xdr:nvSpPr>
          <xdr:cNvPr id="589" name="Arc 232">
            <a:extLst>
              <a:ext uri="{FF2B5EF4-FFF2-40B4-BE49-F238E27FC236}">
                <a16:creationId xmlns:a16="http://schemas.microsoft.com/office/drawing/2014/main" xmlns="" id="{FD79126A-C43D-43BE-8AE4-F16E671804D7}"/>
              </a:ext>
            </a:extLst>
          </xdr:cNvPr>
          <xdr:cNvSpPr>
            <a:spLocks/>
          </xdr:cNvSpPr>
        </xdr:nvSpPr>
        <xdr:spPr bwMode="auto">
          <a:xfrm>
            <a:off x="2356602" y="2764930"/>
            <a:ext cx="71102" cy="71374"/>
          </a:xfrm>
          <a:custGeom>
            <a:avLst/>
            <a:gdLst>
              <a:gd name="G0" fmla="+- 21600 0 0"/>
              <a:gd name="G1" fmla="+- 21600 0 0"/>
              <a:gd name="G2" fmla="+- 21600 0 0"/>
              <a:gd name="T0" fmla="*/ 1 w 21696"/>
              <a:gd name="T1" fmla="*/ 21792 h 21792"/>
              <a:gd name="T2" fmla="*/ 21696 w 21696"/>
              <a:gd name="T3" fmla="*/ 0 h 21792"/>
              <a:gd name="T4" fmla="*/ 21600 w 21696"/>
              <a:gd name="T5" fmla="*/ 21600 h 21792"/>
            </a:gdLst>
            <a:ahLst/>
            <a:cxnLst>
              <a:cxn ang="0">
                <a:pos x="T0" y="T1"/>
              </a:cxn>
              <a:cxn ang="0">
                <a:pos x="T2" y="T3"/>
              </a:cxn>
              <a:cxn ang="0">
                <a:pos x="T4" y="T5"/>
              </a:cxn>
            </a:cxnLst>
            <a:rect l="0" t="0" r="r" b="b"/>
            <a:pathLst>
              <a:path w="21696" h="21792" fill="none" extrusionOk="0">
                <a:moveTo>
                  <a:pt x="0" y="21792"/>
                </a:moveTo>
                <a:cubicBezTo>
                  <a:pt x="0" y="21728"/>
                  <a:pt x="0" y="21664"/>
                  <a:pt x="0" y="21600"/>
                </a:cubicBezTo>
                <a:cubicBezTo>
                  <a:pt x="0" y="9670"/>
                  <a:pt x="9670" y="0"/>
                  <a:pt x="21600" y="0"/>
                </a:cubicBezTo>
                <a:cubicBezTo>
                  <a:pt x="21631" y="0"/>
                  <a:pt x="21663" y="0"/>
                  <a:pt x="21695" y="0"/>
                </a:cubicBezTo>
              </a:path>
              <a:path w="21696" h="21792" stroke="0" extrusionOk="0">
                <a:moveTo>
                  <a:pt x="0" y="21792"/>
                </a:moveTo>
                <a:cubicBezTo>
                  <a:pt x="0" y="21728"/>
                  <a:pt x="0" y="21664"/>
                  <a:pt x="0" y="21600"/>
                </a:cubicBezTo>
                <a:cubicBezTo>
                  <a:pt x="0" y="9670"/>
                  <a:pt x="9670" y="0"/>
                  <a:pt x="21600" y="0"/>
                </a:cubicBezTo>
                <a:cubicBezTo>
                  <a:pt x="21631" y="0"/>
                  <a:pt x="21663" y="0"/>
                  <a:pt x="21695" y="0"/>
                </a:cubicBezTo>
                <a:lnTo>
                  <a:pt x="21600" y="21600"/>
                </a:lnTo>
                <a:close/>
              </a:path>
            </a:pathLst>
          </a:custGeom>
          <a:solidFill>
            <a:srgbClr val="FFFFFF"/>
          </a:solidFill>
          <a:ln w="6350">
            <a:solidFill>
              <a:srgbClr val="000000"/>
            </a:solidFill>
            <a:round/>
            <a:headEnd/>
            <a:tailEnd/>
          </a:ln>
        </xdr:spPr>
      </xdr:sp>
      <xdr:sp macro="" textlink="">
        <xdr:nvSpPr>
          <xdr:cNvPr id="590" name="Arc 231">
            <a:extLst>
              <a:ext uri="{FF2B5EF4-FFF2-40B4-BE49-F238E27FC236}">
                <a16:creationId xmlns:a16="http://schemas.microsoft.com/office/drawing/2014/main" xmlns="" id="{51842231-F01A-43EB-A6DA-ADA48D693760}"/>
              </a:ext>
            </a:extLst>
          </xdr:cNvPr>
          <xdr:cNvSpPr>
            <a:spLocks/>
          </xdr:cNvSpPr>
        </xdr:nvSpPr>
        <xdr:spPr bwMode="auto">
          <a:xfrm>
            <a:off x="2427704" y="2764930"/>
            <a:ext cx="71102" cy="71374"/>
          </a:xfrm>
          <a:custGeom>
            <a:avLst/>
            <a:gdLst>
              <a:gd name="G0" fmla="+- 0 0 0"/>
              <a:gd name="G1" fmla="+- 21600 0 0"/>
              <a:gd name="G2" fmla="+- 21600 0 0"/>
              <a:gd name="T0" fmla="*/ 96 w 21600"/>
              <a:gd name="T1" fmla="*/ 0 h 21789"/>
              <a:gd name="T2" fmla="*/ 21599 w 21600"/>
              <a:gd name="T3" fmla="*/ 21789 h 21789"/>
              <a:gd name="T4" fmla="*/ 0 w 21600"/>
              <a:gd name="T5" fmla="*/ 21600 h 21789"/>
            </a:gdLst>
            <a:ahLst/>
            <a:cxnLst>
              <a:cxn ang="0">
                <a:pos x="T0" y="T1"/>
              </a:cxn>
              <a:cxn ang="0">
                <a:pos x="T2" y="T3"/>
              </a:cxn>
              <a:cxn ang="0">
                <a:pos x="T4" y="T5"/>
              </a:cxn>
            </a:cxnLst>
            <a:rect l="0" t="0" r="r" b="b"/>
            <a:pathLst>
              <a:path w="21600" h="21789" fill="none" extrusionOk="0">
                <a:moveTo>
                  <a:pt x="95" y="0"/>
                </a:moveTo>
                <a:cubicBezTo>
                  <a:pt x="11987" y="53"/>
                  <a:pt x="21600" y="9708"/>
                  <a:pt x="21600" y="21600"/>
                </a:cubicBezTo>
                <a:cubicBezTo>
                  <a:pt x="21600" y="21663"/>
                  <a:pt x="21599" y="21726"/>
                  <a:pt x="21599" y="21789"/>
                </a:cubicBezTo>
              </a:path>
              <a:path w="21600" h="21789" stroke="0" extrusionOk="0">
                <a:moveTo>
                  <a:pt x="95" y="0"/>
                </a:moveTo>
                <a:cubicBezTo>
                  <a:pt x="11987" y="53"/>
                  <a:pt x="21600" y="9708"/>
                  <a:pt x="21600" y="21600"/>
                </a:cubicBezTo>
                <a:cubicBezTo>
                  <a:pt x="21600" y="21663"/>
                  <a:pt x="21599" y="21726"/>
                  <a:pt x="21599" y="21789"/>
                </a:cubicBezTo>
                <a:lnTo>
                  <a:pt x="0" y="21600"/>
                </a:lnTo>
                <a:close/>
              </a:path>
            </a:pathLst>
          </a:custGeom>
          <a:solidFill>
            <a:srgbClr val="FFFFFF"/>
          </a:solidFill>
          <a:ln w="6350">
            <a:solidFill>
              <a:srgbClr val="000000"/>
            </a:solidFill>
            <a:round/>
            <a:headEnd/>
            <a:tailEnd/>
          </a:ln>
        </xdr:spPr>
      </xdr:sp>
      <xdr:sp macro="" textlink="">
        <xdr:nvSpPr>
          <xdr:cNvPr id="591" name="Freeform 230">
            <a:extLst>
              <a:ext uri="{FF2B5EF4-FFF2-40B4-BE49-F238E27FC236}">
                <a16:creationId xmlns:a16="http://schemas.microsoft.com/office/drawing/2014/main" xmlns="" id="{01C17867-7114-4259-85B5-11EBF3418AC8}"/>
              </a:ext>
            </a:extLst>
          </xdr:cNvPr>
          <xdr:cNvSpPr>
            <a:spLocks/>
          </xdr:cNvSpPr>
        </xdr:nvSpPr>
        <xdr:spPr bwMode="auto">
          <a:xfrm>
            <a:off x="2500710"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2" name="Arc 229">
            <a:extLst>
              <a:ext uri="{FF2B5EF4-FFF2-40B4-BE49-F238E27FC236}">
                <a16:creationId xmlns:a16="http://schemas.microsoft.com/office/drawing/2014/main" xmlns="" id="{4F17426A-C120-4A79-9A83-F3A85326C5D2}"/>
              </a:ext>
            </a:extLst>
          </xdr:cNvPr>
          <xdr:cNvSpPr>
            <a:spLocks/>
          </xdr:cNvSpPr>
        </xdr:nvSpPr>
        <xdr:spPr bwMode="auto">
          <a:xfrm>
            <a:off x="2427704" y="2908314"/>
            <a:ext cx="71102" cy="71374"/>
          </a:xfrm>
          <a:custGeom>
            <a:avLst/>
            <a:gdLst>
              <a:gd name="G0" fmla="+- 0 0 0"/>
              <a:gd name="G1" fmla="+- 0 0 0"/>
              <a:gd name="G2" fmla="+- 21600 0 0"/>
              <a:gd name="T0" fmla="*/ 21600 w 21600"/>
              <a:gd name="T1" fmla="*/ 94 h 21600"/>
              <a:gd name="T2" fmla="*/ 95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599" y="93"/>
                </a:moveTo>
                <a:cubicBezTo>
                  <a:pt x="21548" y="11949"/>
                  <a:pt x="11950" y="21547"/>
                  <a:pt x="94" y="21599"/>
                </a:cubicBezTo>
              </a:path>
              <a:path w="21600" h="21600" stroke="0" extrusionOk="0">
                <a:moveTo>
                  <a:pt x="21599" y="93"/>
                </a:moveTo>
                <a:cubicBezTo>
                  <a:pt x="21548" y="11949"/>
                  <a:pt x="11950" y="21547"/>
                  <a:pt x="94" y="21599"/>
                </a:cubicBezTo>
                <a:lnTo>
                  <a:pt x="0" y="0"/>
                </a:lnTo>
                <a:close/>
              </a:path>
            </a:pathLst>
          </a:custGeom>
          <a:solidFill>
            <a:srgbClr val="FFFFFF"/>
          </a:solidFill>
          <a:ln w="6350">
            <a:solidFill>
              <a:srgbClr val="000000"/>
            </a:solidFill>
            <a:round/>
            <a:headEnd/>
            <a:tailEnd/>
          </a:ln>
        </xdr:spPr>
      </xdr:sp>
      <xdr:sp macro="" textlink="">
        <xdr:nvSpPr>
          <xdr:cNvPr id="593" name="Freeform 228">
            <a:extLst>
              <a:ext uri="{FF2B5EF4-FFF2-40B4-BE49-F238E27FC236}">
                <a16:creationId xmlns:a16="http://schemas.microsoft.com/office/drawing/2014/main" xmlns="" id="{013523CD-D13C-49CB-810D-87AAAB1357B9}"/>
              </a:ext>
            </a:extLst>
          </xdr:cNvPr>
          <xdr:cNvSpPr>
            <a:spLocks/>
          </xdr:cNvSpPr>
        </xdr:nvSpPr>
        <xdr:spPr bwMode="auto">
          <a:xfrm>
            <a:off x="2356602"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4" name="Arc 227">
            <a:extLst>
              <a:ext uri="{FF2B5EF4-FFF2-40B4-BE49-F238E27FC236}">
                <a16:creationId xmlns:a16="http://schemas.microsoft.com/office/drawing/2014/main" xmlns="" id="{2CDF2580-6A15-4BE5-B837-0A2132F7C523}"/>
              </a:ext>
            </a:extLst>
          </xdr:cNvPr>
          <xdr:cNvSpPr>
            <a:spLocks/>
          </xdr:cNvSpPr>
        </xdr:nvSpPr>
        <xdr:spPr bwMode="auto">
          <a:xfrm>
            <a:off x="2356602" y="2908314"/>
            <a:ext cx="71102" cy="71374"/>
          </a:xfrm>
          <a:custGeom>
            <a:avLst/>
            <a:gdLst>
              <a:gd name="G0" fmla="+- 21600 0 0"/>
              <a:gd name="G1" fmla="+- 0 0 0"/>
              <a:gd name="G2" fmla="+- 21600 0 0"/>
              <a:gd name="T0" fmla="*/ 21695 w 21695"/>
              <a:gd name="T1" fmla="*/ 21600 h 21600"/>
              <a:gd name="T2" fmla="*/ 0 w 21695"/>
              <a:gd name="T3" fmla="*/ 96 h 21600"/>
              <a:gd name="T4" fmla="*/ 21600 w 21695"/>
              <a:gd name="T5" fmla="*/ 0 h 21600"/>
            </a:gdLst>
            <a:ahLst/>
            <a:cxnLst>
              <a:cxn ang="0">
                <a:pos x="T0" y="T1"/>
              </a:cxn>
              <a:cxn ang="0">
                <a:pos x="T2" y="T3"/>
              </a:cxn>
              <a:cxn ang="0">
                <a:pos x="T4" y="T5"/>
              </a:cxn>
            </a:cxnLst>
            <a:rect l="0" t="0" r="r" b="b"/>
            <a:pathLst>
              <a:path w="21695" h="21600" fill="none" extrusionOk="0">
                <a:moveTo>
                  <a:pt x="21694" y="21599"/>
                </a:moveTo>
                <a:cubicBezTo>
                  <a:pt x="21663" y="21599"/>
                  <a:pt x="21631" y="21599"/>
                  <a:pt x="21600" y="21599"/>
                </a:cubicBezTo>
                <a:cubicBezTo>
                  <a:pt x="9708" y="21599"/>
                  <a:pt x="53" y="11987"/>
                  <a:pt x="0" y="95"/>
                </a:cubicBezTo>
              </a:path>
              <a:path w="21695" h="21600" stroke="0" extrusionOk="0">
                <a:moveTo>
                  <a:pt x="21694" y="21599"/>
                </a:moveTo>
                <a:cubicBezTo>
                  <a:pt x="21663" y="21599"/>
                  <a:pt x="21631" y="21599"/>
                  <a:pt x="21600" y="21599"/>
                </a:cubicBezTo>
                <a:cubicBezTo>
                  <a:pt x="9708" y="21599"/>
                  <a:pt x="53" y="11987"/>
                  <a:pt x="0" y="95"/>
                </a:cubicBezTo>
                <a:lnTo>
                  <a:pt x="21600" y="0"/>
                </a:lnTo>
                <a:close/>
              </a:path>
            </a:pathLst>
          </a:custGeom>
          <a:solidFill>
            <a:srgbClr val="FFFFFF"/>
          </a:solidFill>
          <a:ln w="6350">
            <a:solidFill>
              <a:srgbClr val="000000"/>
            </a:solidFill>
            <a:round/>
            <a:headEnd/>
            <a:tailEnd/>
          </a:ln>
        </xdr:spPr>
      </xdr:sp>
      <xdr:sp macro="" textlink="">
        <xdr:nvSpPr>
          <xdr:cNvPr id="595" name="Arc 226">
            <a:extLst>
              <a:ext uri="{FF2B5EF4-FFF2-40B4-BE49-F238E27FC236}">
                <a16:creationId xmlns:a16="http://schemas.microsoft.com/office/drawing/2014/main" xmlns="" id="{0DA70AD5-D99A-40BC-B322-277BF274A26B}"/>
              </a:ext>
            </a:extLst>
          </xdr:cNvPr>
          <xdr:cNvSpPr>
            <a:spLocks/>
          </xdr:cNvSpPr>
        </xdr:nvSpPr>
        <xdr:spPr bwMode="auto">
          <a:xfrm>
            <a:off x="2140758" y="2764930"/>
            <a:ext cx="71102" cy="71374"/>
          </a:xfrm>
          <a:custGeom>
            <a:avLst/>
            <a:gdLst>
              <a:gd name="G0" fmla="+- 21600 0 0"/>
              <a:gd name="G1" fmla="+- 21600 0 0"/>
              <a:gd name="G2" fmla="+- 21600 0 0"/>
              <a:gd name="T0" fmla="*/ 1 w 21696"/>
              <a:gd name="T1" fmla="*/ 21792 h 21792"/>
              <a:gd name="T2" fmla="*/ 21696 w 21696"/>
              <a:gd name="T3" fmla="*/ 0 h 21792"/>
              <a:gd name="T4" fmla="*/ 21600 w 21696"/>
              <a:gd name="T5" fmla="*/ 21600 h 21792"/>
            </a:gdLst>
            <a:ahLst/>
            <a:cxnLst>
              <a:cxn ang="0">
                <a:pos x="T0" y="T1"/>
              </a:cxn>
              <a:cxn ang="0">
                <a:pos x="T2" y="T3"/>
              </a:cxn>
              <a:cxn ang="0">
                <a:pos x="T4" y="T5"/>
              </a:cxn>
            </a:cxnLst>
            <a:rect l="0" t="0" r="r" b="b"/>
            <a:pathLst>
              <a:path w="21696" h="21792" fill="none" extrusionOk="0">
                <a:moveTo>
                  <a:pt x="0" y="21792"/>
                </a:moveTo>
                <a:cubicBezTo>
                  <a:pt x="0" y="21728"/>
                  <a:pt x="0" y="21664"/>
                  <a:pt x="0" y="21600"/>
                </a:cubicBezTo>
                <a:cubicBezTo>
                  <a:pt x="0" y="9670"/>
                  <a:pt x="9670" y="0"/>
                  <a:pt x="21600" y="0"/>
                </a:cubicBezTo>
                <a:cubicBezTo>
                  <a:pt x="21631" y="0"/>
                  <a:pt x="21663" y="0"/>
                  <a:pt x="21695" y="0"/>
                </a:cubicBezTo>
              </a:path>
              <a:path w="21696" h="21792" stroke="0" extrusionOk="0">
                <a:moveTo>
                  <a:pt x="0" y="21792"/>
                </a:moveTo>
                <a:cubicBezTo>
                  <a:pt x="0" y="21728"/>
                  <a:pt x="0" y="21664"/>
                  <a:pt x="0" y="21600"/>
                </a:cubicBezTo>
                <a:cubicBezTo>
                  <a:pt x="0" y="9670"/>
                  <a:pt x="9670" y="0"/>
                  <a:pt x="21600" y="0"/>
                </a:cubicBezTo>
                <a:cubicBezTo>
                  <a:pt x="21631" y="0"/>
                  <a:pt x="21663" y="0"/>
                  <a:pt x="21695" y="0"/>
                </a:cubicBezTo>
                <a:lnTo>
                  <a:pt x="21600" y="21600"/>
                </a:lnTo>
                <a:close/>
              </a:path>
            </a:pathLst>
          </a:custGeom>
          <a:solidFill>
            <a:srgbClr val="FFFFFF"/>
          </a:solidFill>
          <a:ln w="6350">
            <a:solidFill>
              <a:srgbClr val="000000"/>
            </a:solidFill>
            <a:round/>
            <a:headEnd/>
            <a:tailEnd/>
          </a:ln>
        </xdr:spPr>
      </xdr:sp>
      <xdr:sp macro="" textlink="">
        <xdr:nvSpPr>
          <xdr:cNvPr id="596" name="Arc 225">
            <a:extLst>
              <a:ext uri="{FF2B5EF4-FFF2-40B4-BE49-F238E27FC236}">
                <a16:creationId xmlns:a16="http://schemas.microsoft.com/office/drawing/2014/main" xmlns="" id="{437A543B-11BF-4122-9BF0-A75DF559B8BA}"/>
              </a:ext>
            </a:extLst>
          </xdr:cNvPr>
          <xdr:cNvSpPr>
            <a:spLocks/>
          </xdr:cNvSpPr>
        </xdr:nvSpPr>
        <xdr:spPr bwMode="auto">
          <a:xfrm>
            <a:off x="2211859" y="2764930"/>
            <a:ext cx="71102" cy="71374"/>
          </a:xfrm>
          <a:custGeom>
            <a:avLst/>
            <a:gdLst>
              <a:gd name="G0" fmla="+- 0 0 0"/>
              <a:gd name="G1" fmla="+- 21600 0 0"/>
              <a:gd name="G2" fmla="+- 21600 0 0"/>
              <a:gd name="T0" fmla="*/ 96 w 21600"/>
              <a:gd name="T1" fmla="*/ 0 h 21790"/>
              <a:gd name="T2" fmla="*/ 21599 w 21600"/>
              <a:gd name="T3" fmla="*/ 21790 h 21790"/>
              <a:gd name="T4" fmla="*/ 0 w 21600"/>
              <a:gd name="T5" fmla="*/ 21600 h 21790"/>
            </a:gdLst>
            <a:ahLst/>
            <a:cxnLst>
              <a:cxn ang="0">
                <a:pos x="T0" y="T1"/>
              </a:cxn>
              <a:cxn ang="0">
                <a:pos x="T2" y="T3"/>
              </a:cxn>
              <a:cxn ang="0">
                <a:pos x="T4" y="T5"/>
              </a:cxn>
            </a:cxnLst>
            <a:rect l="0" t="0" r="r" b="b"/>
            <a:pathLst>
              <a:path w="21600" h="21790" fill="none" extrusionOk="0">
                <a:moveTo>
                  <a:pt x="95" y="0"/>
                </a:moveTo>
                <a:cubicBezTo>
                  <a:pt x="11987" y="53"/>
                  <a:pt x="21600" y="9708"/>
                  <a:pt x="21600" y="21600"/>
                </a:cubicBezTo>
                <a:cubicBezTo>
                  <a:pt x="21600" y="21663"/>
                  <a:pt x="21599" y="21726"/>
                  <a:pt x="21599" y="21790"/>
                </a:cubicBezTo>
              </a:path>
              <a:path w="21600" h="21790" stroke="0" extrusionOk="0">
                <a:moveTo>
                  <a:pt x="95" y="0"/>
                </a:moveTo>
                <a:cubicBezTo>
                  <a:pt x="11987" y="53"/>
                  <a:pt x="21600" y="9708"/>
                  <a:pt x="21600" y="21600"/>
                </a:cubicBezTo>
                <a:cubicBezTo>
                  <a:pt x="21600" y="21663"/>
                  <a:pt x="21599" y="21726"/>
                  <a:pt x="21599" y="21790"/>
                </a:cubicBezTo>
                <a:lnTo>
                  <a:pt x="0" y="21600"/>
                </a:lnTo>
                <a:close/>
              </a:path>
            </a:pathLst>
          </a:custGeom>
          <a:solidFill>
            <a:srgbClr val="FFFFFF"/>
          </a:solidFill>
          <a:ln w="6350">
            <a:solidFill>
              <a:srgbClr val="000000"/>
            </a:solidFill>
            <a:round/>
            <a:headEnd/>
            <a:tailEnd/>
          </a:ln>
        </xdr:spPr>
      </xdr:sp>
      <xdr:sp macro="" textlink="">
        <xdr:nvSpPr>
          <xdr:cNvPr id="597" name="Freeform 224">
            <a:extLst>
              <a:ext uri="{FF2B5EF4-FFF2-40B4-BE49-F238E27FC236}">
                <a16:creationId xmlns:a16="http://schemas.microsoft.com/office/drawing/2014/main" xmlns="" id="{B631DE77-EC71-4800-8E7C-C4969452EB62}"/>
              </a:ext>
            </a:extLst>
          </xdr:cNvPr>
          <xdr:cNvSpPr>
            <a:spLocks/>
          </xdr:cNvSpPr>
        </xdr:nvSpPr>
        <xdr:spPr bwMode="auto">
          <a:xfrm>
            <a:off x="2284866"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8" name="Arc 223">
            <a:extLst>
              <a:ext uri="{FF2B5EF4-FFF2-40B4-BE49-F238E27FC236}">
                <a16:creationId xmlns:a16="http://schemas.microsoft.com/office/drawing/2014/main" xmlns="" id="{681F5822-7B8A-46A8-8336-E4EECFF890C0}"/>
              </a:ext>
            </a:extLst>
          </xdr:cNvPr>
          <xdr:cNvSpPr>
            <a:spLocks/>
          </xdr:cNvSpPr>
        </xdr:nvSpPr>
        <xdr:spPr bwMode="auto">
          <a:xfrm>
            <a:off x="2211859" y="2908314"/>
            <a:ext cx="71102" cy="71374"/>
          </a:xfrm>
          <a:custGeom>
            <a:avLst/>
            <a:gdLst>
              <a:gd name="G0" fmla="+- 0 0 0"/>
              <a:gd name="G1" fmla="+- 0 0 0"/>
              <a:gd name="G2" fmla="+- 21600 0 0"/>
              <a:gd name="T0" fmla="*/ 21600 w 21600"/>
              <a:gd name="T1" fmla="*/ 95 h 21600"/>
              <a:gd name="T2" fmla="*/ 95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599" y="94"/>
                </a:moveTo>
                <a:cubicBezTo>
                  <a:pt x="21547" y="11950"/>
                  <a:pt x="11950" y="21547"/>
                  <a:pt x="94" y="21599"/>
                </a:cubicBezTo>
              </a:path>
              <a:path w="21600" h="21600" stroke="0" extrusionOk="0">
                <a:moveTo>
                  <a:pt x="21599" y="94"/>
                </a:moveTo>
                <a:cubicBezTo>
                  <a:pt x="21547" y="11950"/>
                  <a:pt x="11950" y="21547"/>
                  <a:pt x="94" y="21599"/>
                </a:cubicBezTo>
                <a:lnTo>
                  <a:pt x="0" y="0"/>
                </a:lnTo>
                <a:close/>
              </a:path>
            </a:pathLst>
          </a:custGeom>
          <a:solidFill>
            <a:srgbClr val="FFFFFF"/>
          </a:solidFill>
          <a:ln w="6350">
            <a:solidFill>
              <a:srgbClr val="000000"/>
            </a:solidFill>
            <a:round/>
            <a:headEnd/>
            <a:tailEnd/>
          </a:ln>
        </xdr:spPr>
      </xdr:sp>
      <xdr:sp macro="" textlink="">
        <xdr:nvSpPr>
          <xdr:cNvPr id="599" name="Freeform 222">
            <a:extLst>
              <a:ext uri="{FF2B5EF4-FFF2-40B4-BE49-F238E27FC236}">
                <a16:creationId xmlns:a16="http://schemas.microsoft.com/office/drawing/2014/main" xmlns="" id="{85ABDD51-31EE-470A-87BD-4057AF6F9441}"/>
              </a:ext>
            </a:extLst>
          </xdr:cNvPr>
          <xdr:cNvSpPr>
            <a:spLocks/>
          </xdr:cNvSpPr>
        </xdr:nvSpPr>
        <xdr:spPr bwMode="auto">
          <a:xfrm>
            <a:off x="2140758"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0" name="Arc 221">
            <a:extLst>
              <a:ext uri="{FF2B5EF4-FFF2-40B4-BE49-F238E27FC236}">
                <a16:creationId xmlns:a16="http://schemas.microsoft.com/office/drawing/2014/main" xmlns="" id="{A3995B2A-0EE9-4426-8A96-A5750160CA02}"/>
              </a:ext>
            </a:extLst>
          </xdr:cNvPr>
          <xdr:cNvSpPr>
            <a:spLocks/>
          </xdr:cNvSpPr>
        </xdr:nvSpPr>
        <xdr:spPr bwMode="auto">
          <a:xfrm>
            <a:off x="2140758" y="2908314"/>
            <a:ext cx="71102" cy="71374"/>
          </a:xfrm>
          <a:custGeom>
            <a:avLst/>
            <a:gdLst>
              <a:gd name="G0" fmla="+- 21600 0 0"/>
              <a:gd name="G1" fmla="+- 0 0 0"/>
              <a:gd name="G2" fmla="+- 21600 0 0"/>
              <a:gd name="T0" fmla="*/ 21695 w 21695"/>
              <a:gd name="T1" fmla="*/ 21600 h 21600"/>
              <a:gd name="T2" fmla="*/ 0 w 21695"/>
              <a:gd name="T3" fmla="*/ 96 h 21600"/>
              <a:gd name="T4" fmla="*/ 21600 w 21695"/>
              <a:gd name="T5" fmla="*/ 0 h 21600"/>
            </a:gdLst>
            <a:ahLst/>
            <a:cxnLst>
              <a:cxn ang="0">
                <a:pos x="T0" y="T1"/>
              </a:cxn>
              <a:cxn ang="0">
                <a:pos x="T2" y="T3"/>
              </a:cxn>
              <a:cxn ang="0">
                <a:pos x="T4" y="T5"/>
              </a:cxn>
            </a:cxnLst>
            <a:rect l="0" t="0" r="r" b="b"/>
            <a:pathLst>
              <a:path w="21695" h="21600" fill="none" extrusionOk="0">
                <a:moveTo>
                  <a:pt x="21694" y="21599"/>
                </a:moveTo>
                <a:cubicBezTo>
                  <a:pt x="21663" y="21599"/>
                  <a:pt x="21631" y="21599"/>
                  <a:pt x="21600" y="21599"/>
                </a:cubicBezTo>
                <a:cubicBezTo>
                  <a:pt x="9708" y="21599"/>
                  <a:pt x="53" y="11987"/>
                  <a:pt x="0" y="95"/>
                </a:cubicBezTo>
              </a:path>
              <a:path w="21695" h="21600" stroke="0" extrusionOk="0">
                <a:moveTo>
                  <a:pt x="21694" y="21599"/>
                </a:moveTo>
                <a:cubicBezTo>
                  <a:pt x="21663" y="21599"/>
                  <a:pt x="21631" y="21599"/>
                  <a:pt x="21600" y="21599"/>
                </a:cubicBezTo>
                <a:cubicBezTo>
                  <a:pt x="9708" y="21599"/>
                  <a:pt x="53" y="11987"/>
                  <a:pt x="0" y="95"/>
                </a:cubicBezTo>
                <a:lnTo>
                  <a:pt x="21600" y="0"/>
                </a:lnTo>
                <a:close/>
              </a:path>
            </a:pathLst>
          </a:custGeom>
          <a:solidFill>
            <a:srgbClr val="FFFFFF"/>
          </a:solidFill>
          <a:ln w="6350">
            <a:solidFill>
              <a:srgbClr val="000000"/>
            </a:solidFill>
            <a:round/>
            <a:headEnd/>
            <a:tailEnd/>
          </a:ln>
        </xdr:spPr>
      </xdr:sp>
      <xdr:sp macro="" textlink="">
        <xdr:nvSpPr>
          <xdr:cNvPr id="601" name="Arc 220">
            <a:extLst>
              <a:ext uri="{FF2B5EF4-FFF2-40B4-BE49-F238E27FC236}">
                <a16:creationId xmlns:a16="http://schemas.microsoft.com/office/drawing/2014/main" xmlns="" id="{8CD3B503-BDBC-4E2D-855D-031E638B3060}"/>
              </a:ext>
            </a:extLst>
          </xdr:cNvPr>
          <xdr:cNvSpPr>
            <a:spLocks/>
          </xdr:cNvSpPr>
        </xdr:nvSpPr>
        <xdr:spPr bwMode="auto">
          <a:xfrm>
            <a:off x="1924913" y="2764930"/>
            <a:ext cx="71102" cy="71374"/>
          </a:xfrm>
          <a:custGeom>
            <a:avLst/>
            <a:gdLst>
              <a:gd name="G0" fmla="+- 21600 0 0"/>
              <a:gd name="G1" fmla="+- 21600 0 0"/>
              <a:gd name="G2" fmla="+- 21600 0 0"/>
              <a:gd name="T0" fmla="*/ 1 w 21696"/>
              <a:gd name="T1" fmla="*/ 21792 h 21792"/>
              <a:gd name="T2" fmla="*/ 21696 w 21696"/>
              <a:gd name="T3" fmla="*/ 0 h 21792"/>
              <a:gd name="T4" fmla="*/ 21600 w 21696"/>
              <a:gd name="T5" fmla="*/ 21600 h 21792"/>
            </a:gdLst>
            <a:ahLst/>
            <a:cxnLst>
              <a:cxn ang="0">
                <a:pos x="T0" y="T1"/>
              </a:cxn>
              <a:cxn ang="0">
                <a:pos x="T2" y="T3"/>
              </a:cxn>
              <a:cxn ang="0">
                <a:pos x="T4" y="T5"/>
              </a:cxn>
            </a:cxnLst>
            <a:rect l="0" t="0" r="r" b="b"/>
            <a:pathLst>
              <a:path w="21696" h="21792" fill="none" extrusionOk="0">
                <a:moveTo>
                  <a:pt x="0" y="21792"/>
                </a:moveTo>
                <a:cubicBezTo>
                  <a:pt x="0" y="21728"/>
                  <a:pt x="0" y="21664"/>
                  <a:pt x="0" y="21600"/>
                </a:cubicBezTo>
                <a:cubicBezTo>
                  <a:pt x="0" y="9670"/>
                  <a:pt x="9670" y="0"/>
                  <a:pt x="21600" y="0"/>
                </a:cubicBezTo>
                <a:cubicBezTo>
                  <a:pt x="21631" y="0"/>
                  <a:pt x="21663" y="0"/>
                  <a:pt x="21695" y="0"/>
                </a:cubicBezTo>
              </a:path>
              <a:path w="21696" h="21792" stroke="0" extrusionOk="0">
                <a:moveTo>
                  <a:pt x="0" y="21792"/>
                </a:moveTo>
                <a:cubicBezTo>
                  <a:pt x="0" y="21728"/>
                  <a:pt x="0" y="21664"/>
                  <a:pt x="0" y="21600"/>
                </a:cubicBezTo>
                <a:cubicBezTo>
                  <a:pt x="0" y="9670"/>
                  <a:pt x="9670" y="0"/>
                  <a:pt x="21600" y="0"/>
                </a:cubicBezTo>
                <a:cubicBezTo>
                  <a:pt x="21631" y="0"/>
                  <a:pt x="21663" y="0"/>
                  <a:pt x="21695" y="0"/>
                </a:cubicBezTo>
                <a:lnTo>
                  <a:pt x="21600" y="21600"/>
                </a:lnTo>
                <a:close/>
              </a:path>
            </a:pathLst>
          </a:custGeom>
          <a:solidFill>
            <a:srgbClr val="FFFFFF"/>
          </a:solidFill>
          <a:ln w="6350">
            <a:solidFill>
              <a:srgbClr val="000000"/>
            </a:solidFill>
            <a:round/>
            <a:headEnd/>
            <a:tailEnd/>
          </a:ln>
        </xdr:spPr>
      </xdr:sp>
      <xdr:sp macro="" textlink="">
        <xdr:nvSpPr>
          <xdr:cNvPr id="602" name="Arc 219">
            <a:extLst>
              <a:ext uri="{FF2B5EF4-FFF2-40B4-BE49-F238E27FC236}">
                <a16:creationId xmlns:a16="http://schemas.microsoft.com/office/drawing/2014/main" xmlns="" id="{2ABE16B7-BC2A-4786-8FC6-C879D7E21C84}"/>
              </a:ext>
            </a:extLst>
          </xdr:cNvPr>
          <xdr:cNvSpPr>
            <a:spLocks/>
          </xdr:cNvSpPr>
        </xdr:nvSpPr>
        <xdr:spPr bwMode="auto">
          <a:xfrm>
            <a:off x="1996015" y="2764930"/>
            <a:ext cx="71102" cy="71374"/>
          </a:xfrm>
          <a:custGeom>
            <a:avLst/>
            <a:gdLst>
              <a:gd name="G0" fmla="+- 0 0 0"/>
              <a:gd name="G1" fmla="+- 21600 0 0"/>
              <a:gd name="G2" fmla="+- 21600 0 0"/>
              <a:gd name="T0" fmla="*/ 96 w 21600"/>
              <a:gd name="T1" fmla="*/ 0 h 21790"/>
              <a:gd name="T2" fmla="*/ 21599 w 21600"/>
              <a:gd name="T3" fmla="*/ 21790 h 21790"/>
              <a:gd name="T4" fmla="*/ 0 w 21600"/>
              <a:gd name="T5" fmla="*/ 21600 h 21790"/>
            </a:gdLst>
            <a:ahLst/>
            <a:cxnLst>
              <a:cxn ang="0">
                <a:pos x="T0" y="T1"/>
              </a:cxn>
              <a:cxn ang="0">
                <a:pos x="T2" y="T3"/>
              </a:cxn>
              <a:cxn ang="0">
                <a:pos x="T4" y="T5"/>
              </a:cxn>
            </a:cxnLst>
            <a:rect l="0" t="0" r="r" b="b"/>
            <a:pathLst>
              <a:path w="21600" h="21790" fill="none" extrusionOk="0">
                <a:moveTo>
                  <a:pt x="95" y="0"/>
                </a:moveTo>
                <a:cubicBezTo>
                  <a:pt x="11987" y="53"/>
                  <a:pt x="21600" y="9708"/>
                  <a:pt x="21600" y="21600"/>
                </a:cubicBezTo>
                <a:cubicBezTo>
                  <a:pt x="21600" y="21663"/>
                  <a:pt x="21599" y="21726"/>
                  <a:pt x="21599" y="21790"/>
                </a:cubicBezTo>
              </a:path>
              <a:path w="21600" h="21790" stroke="0" extrusionOk="0">
                <a:moveTo>
                  <a:pt x="95" y="0"/>
                </a:moveTo>
                <a:cubicBezTo>
                  <a:pt x="11987" y="53"/>
                  <a:pt x="21600" y="9708"/>
                  <a:pt x="21600" y="21600"/>
                </a:cubicBezTo>
                <a:cubicBezTo>
                  <a:pt x="21600" y="21663"/>
                  <a:pt x="21599" y="21726"/>
                  <a:pt x="21599" y="21790"/>
                </a:cubicBezTo>
                <a:lnTo>
                  <a:pt x="0" y="21600"/>
                </a:lnTo>
                <a:close/>
              </a:path>
            </a:pathLst>
          </a:custGeom>
          <a:solidFill>
            <a:srgbClr val="FFFFFF"/>
          </a:solidFill>
          <a:ln w="6350">
            <a:solidFill>
              <a:srgbClr val="000000"/>
            </a:solidFill>
            <a:round/>
            <a:headEnd/>
            <a:tailEnd/>
          </a:ln>
        </xdr:spPr>
      </xdr:sp>
      <xdr:sp macro="" textlink="">
        <xdr:nvSpPr>
          <xdr:cNvPr id="603" name="Freeform 218">
            <a:extLst>
              <a:ext uri="{FF2B5EF4-FFF2-40B4-BE49-F238E27FC236}">
                <a16:creationId xmlns:a16="http://schemas.microsoft.com/office/drawing/2014/main" xmlns="" id="{CDEDBF8A-F4DA-49B4-AB5B-29E0C7A8E94F}"/>
              </a:ext>
            </a:extLst>
          </xdr:cNvPr>
          <xdr:cNvSpPr>
            <a:spLocks/>
          </xdr:cNvSpPr>
        </xdr:nvSpPr>
        <xdr:spPr bwMode="auto">
          <a:xfrm>
            <a:off x="2069021"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4" name="Arc 217">
            <a:extLst>
              <a:ext uri="{FF2B5EF4-FFF2-40B4-BE49-F238E27FC236}">
                <a16:creationId xmlns:a16="http://schemas.microsoft.com/office/drawing/2014/main" xmlns="" id="{01E6DA42-0774-4109-B881-C47B51E45075}"/>
              </a:ext>
            </a:extLst>
          </xdr:cNvPr>
          <xdr:cNvSpPr>
            <a:spLocks/>
          </xdr:cNvSpPr>
        </xdr:nvSpPr>
        <xdr:spPr bwMode="auto">
          <a:xfrm>
            <a:off x="1996015" y="2908314"/>
            <a:ext cx="71102" cy="71374"/>
          </a:xfrm>
          <a:custGeom>
            <a:avLst/>
            <a:gdLst>
              <a:gd name="G0" fmla="+- 0 0 0"/>
              <a:gd name="G1" fmla="+- 0 0 0"/>
              <a:gd name="G2" fmla="+- 21600 0 0"/>
              <a:gd name="T0" fmla="*/ 21600 w 21600"/>
              <a:gd name="T1" fmla="*/ 95 h 21600"/>
              <a:gd name="T2" fmla="*/ 95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599" y="94"/>
                </a:moveTo>
                <a:cubicBezTo>
                  <a:pt x="21547" y="11950"/>
                  <a:pt x="11950" y="21547"/>
                  <a:pt x="94" y="21599"/>
                </a:cubicBezTo>
              </a:path>
              <a:path w="21600" h="21600" stroke="0" extrusionOk="0">
                <a:moveTo>
                  <a:pt x="21599" y="94"/>
                </a:moveTo>
                <a:cubicBezTo>
                  <a:pt x="21547" y="11950"/>
                  <a:pt x="11950" y="21547"/>
                  <a:pt x="94" y="21599"/>
                </a:cubicBezTo>
                <a:lnTo>
                  <a:pt x="0" y="0"/>
                </a:lnTo>
                <a:close/>
              </a:path>
            </a:pathLst>
          </a:custGeom>
          <a:solidFill>
            <a:srgbClr val="FFFFFF"/>
          </a:solidFill>
          <a:ln w="6350">
            <a:solidFill>
              <a:srgbClr val="000000"/>
            </a:solidFill>
            <a:round/>
            <a:headEnd/>
            <a:tailEnd/>
          </a:ln>
        </xdr:spPr>
      </xdr:sp>
      <xdr:sp macro="" textlink="">
        <xdr:nvSpPr>
          <xdr:cNvPr id="605" name="Freeform 216">
            <a:extLst>
              <a:ext uri="{FF2B5EF4-FFF2-40B4-BE49-F238E27FC236}">
                <a16:creationId xmlns:a16="http://schemas.microsoft.com/office/drawing/2014/main" xmlns="" id="{AE202B8C-D0E7-415F-8BCD-3FFA2B17EA96}"/>
              </a:ext>
            </a:extLst>
          </xdr:cNvPr>
          <xdr:cNvSpPr>
            <a:spLocks/>
          </xdr:cNvSpPr>
        </xdr:nvSpPr>
        <xdr:spPr bwMode="auto">
          <a:xfrm>
            <a:off x="1924278"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6" name="Arc 215">
            <a:extLst>
              <a:ext uri="{FF2B5EF4-FFF2-40B4-BE49-F238E27FC236}">
                <a16:creationId xmlns:a16="http://schemas.microsoft.com/office/drawing/2014/main" xmlns="" id="{ED82A74D-1F94-482C-ADF4-4C35B44F60C3}"/>
              </a:ext>
            </a:extLst>
          </xdr:cNvPr>
          <xdr:cNvSpPr>
            <a:spLocks/>
          </xdr:cNvSpPr>
        </xdr:nvSpPr>
        <xdr:spPr bwMode="auto">
          <a:xfrm>
            <a:off x="1924913" y="2908314"/>
            <a:ext cx="71102" cy="71374"/>
          </a:xfrm>
          <a:custGeom>
            <a:avLst/>
            <a:gdLst>
              <a:gd name="G0" fmla="+- 21600 0 0"/>
              <a:gd name="G1" fmla="+- 0 0 0"/>
              <a:gd name="G2" fmla="+- 21600 0 0"/>
              <a:gd name="T0" fmla="*/ 21695 w 21695"/>
              <a:gd name="T1" fmla="*/ 21600 h 21600"/>
              <a:gd name="T2" fmla="*/ 0 w 21695"/>
              <a:gd name="T3" fmla="*/ 96 h 21600"/>
              <a:gd name="T4" fmla="*/ 21600 w 21695"/>
              <a:gd name="T5" fmla="*/ 0 h 21600"/>
            </a:gdLst>
            <a:ahLst/>
            <a:cxnLst>
              <a:cxn ang="0">
                <a:pos x="T0" y="T1"/>
              </a:cxn>
              <a:cxn ang="0">
                <a:pos x="T2" y="T3"/>
              </a:cxn>
              <a:cxn ang="0">
                <a:pos x="T4" y="T5"/>
              </a:cxn>
            </a:cxnLst>
            <a:rect l="0" t="0" r="r" b="b"/>
            <a:pathLst>
              <a:path w="21695" h="21600" fill="none" extrusionOk="0">
                <a:moveTo>
                  <a:pt x="21694" y="21599"/>
                </a:moveTo>
                <a:cubicBezTo>
                  <a:pt x="21663" y="21599"/>
                  <a:pt x="21631" y="21599"/>
                  <a:pt x="21600" y="21599"/>
                </a:cubicBezTo>
                <a:cubicBezTo>
                  <a:pt x="9708" y="21599"/>
                  <a:pt x="53" y="11987"/>
                  <a:pt x="0" y="95"/>
                </a:cubicBezTo>
              </a:path>
              <a:path w="21695" h="21600" stroke="0" extrusionOk="0">
                <a:moveTo>
                  <a:pt x="21694" y="21599"/>
                </a:moveTo>
                <a:cubicBezTo>
                  <a:pt x="21663" y="21599"/>
                  <a:pt x="21631" y="21599"/>
                  <a:pt x="21600" y="21599"/>
                </a:cubicBezTo>
                <a:cubicBezTo>
                  <a:pt x="9708" y="21599"/>
                  <a:pt x="53" y="11987"/>
                  <a:pt x="0" y="95"/>
                </a:cubicBezTo>
                <a:lnTo>
                  <a:pt x="21600" y="0"/>
                </a:lnTo>
                <a:close/>
              </a:path>
            </a:pathLst>
          </a:custGeom>
          <a:solidFill>
            <a:srgbClr val="FFFFFF"/>
          </a:solidFill>
          <a:ln w="6350">
            <a:solidFill>
              <a:srgbClr val="000000"/>
            </a:solidFill>
            <a:round/>
            <a:headEnd/>
            <a:tailEnd/>
          </a:ln>
        </xdr:spPr>
      </xdr:sp>
      <xdr:sp macro="" textlink="">
        <xdr:nvSpPr>
          <xdr:cNvPr id="607" name="Arc 214">
            <a:extLst>
              <a:ext uri="{FF2B5EF4-FFF2-40B4-BE49-F238E27FC236}">
                <a16:creationId xmlns:a16="http://schemas.microsoft.com/office/drawing/2014/main" xmlns="" id="{8052DF10-E1CB-4CF6-AD9C-27B4494EE1B8}"/>
              </a:ext>
            </a:extLst>
          </xdr:cNvPr>
          <xdr:cNvSpPr>
            <a:spLocks/>
          </xdr:cNvSpPr>
        </xdr:nvSpPr>
        <xdr:spPr bwMode="auto">
          <a:xfrm>
            <a:off x="1709068" y="2764930"/>
            <a:ext cx="71102" cy="71374"/>
          </a:xfrm>
          <a:custGeom>
            <a:avLst/>
            <a:gdLst>
              <a:gd name="G0" fmla="+- 21600 0 0"/>
              <a:gd name="G1" fmla="+- 21600 0 0"/>
              <a:gd name="G2" fmla="+- 21600 0 0"/>
              <a:gd name="T0" fmla="*/ 1 w 21792"/>
              <a:gd name="T1" fmla="*/ 21792 h 21792"/>
              <a:gd name="T2" fmla="*/ 21792 w 21792"/>
              <a:gd name="T3" fmla="*/ 1 h 21792"/>
              <a:gd name="T4" fmla="*/ 21600 w 21792"/>
              <a:gd name="T5" fmla="*/ 21600 h 21792"/>
            </a:gdLst>
            <a:ahLst/>
            <a:cxnLst>
              <a:cxn ang="0">
                <a:pos x="T0" y="T1"/>
              </a:cxn>
              <a:cxn ang="0">
                <a:pos x="T2" y="T3"/>
              </a:cxn>
              <a:cxn ang="0">
                <a:pos x="T4" y="T5"/>
              </a:cxn>
            </a:cxnLst>
            <a:rect l="0" t="0" r="r" b="b"/>
            <a:pathLst>
              <a:path w="21792" h="21792" fill="none" extrusionOk="0">
                <a:moveTo>
                  <a:pt x="0" y="21792"/>
                </a:moveTo>
                <a:cubicBezTo>
                  <a:pt x="0" y="21728"/>
                  <a:pt x="0" y="21664"/>
                  <a:pt x="0" y="21600"/>
                </a:cubicBezTo>
                <a:cubicBezTo>
                  <a:pt x="0" y="9670"/>
                  <a:pt x="9670" y="0"/>
                  <a:pt x="21600" y="0"/>
                </a:cubicBezTo>
                <a:cubicBezTo>
                  <a:pt x="21664" y="0"/>
                  <a:pt x="21728" y="0"/>
                  <a:pt x="21792" y="0"/>
                </a:cubicBezTo>
              </a:path>
              <a:path w="21792" h="21792" stroke="0" extrusionOk="0">
                <a:moveTo>
                  <a:pt x="0" y="21792"/>
                </a:moveTo>
                <a:cubicBezTo>
                  <a:pt x="0" y="21728"/>
                  <a:pt x="0" y="21664"/>
                  <a:pt x="0" y="21600"/>
                </a:cubicBezTo>
                <a:cubicBezTo>
                  <a:pt x="0" y="9670"/>
                  <a:pt x="9670" y="0"/>
                  <a:pt x="21600" y="0"/>
                </a:cubicBezTo>
                <a:cubicBezTo>
                  <a:pt x="21664" y="0"/>
                  <a:pt x="21728" y="0"/>
                  <a:pt x="21792" y="0"/>
                </a:cubicBezTo>
                <a:lnTo>
                  <a:pt x="21600" y="21600"/>
                </a:lnTo>
                <a:close/>
              </a:path>
            </a:pathLst>
          </a:custGeom>
          <a:solidFill>
            <a:srgbClr val="FFFFFF"/>
          </a:solidFill>
          <a:ln w="6350">
            <a:solidFill>
              <a:srgbClr val="000000"/>
            </a:solidFill>
            <a:round/>
            <a:headEnd/>
            <a:tailEnd/>
          </a:ln>
        </xdr:spPr>
      </xdr:sp>
      <xdr:sp macro="" textlink="">
        <xdr:nvSpPr>
          <xdr:cNvPr id="608" name="Arc 213">
            <a:extLst>
              <a:ext uri="{FF2B5EF4-FFF2-40B4-BE49-F238E27FC236}">
                <a16:creationId xmlns:a16="http://schemas.microsoft.com/office/drawing/2014/main" xmlns="" id="{A7D354D3-D3FE-493B-9A5B-3E849B408D9D}"/>
              </a:ext>
            </a:extLst>
          </xdr:cNvPr>
          <xdr:cNvSpPr>
            <a:spLocks/>
          </xdr:cNvSpPr>
        </xdr:nvSpPr>
        <xdr:spPr bwMode="auto">
          <a:xfrm>
            <a:off x="1779535" y="2764930"/>
            <a:ext cx="70467" cy="71374"/>
          </a:xfrm>
          <a:custGeom>
            <a:avLst/>
            <a:gdLst>
              <a:gd name="G0" fmla="+- 0 0 0"/>
              <a:gd name="G1" fmla="+- 21599 0 0"/>
              <a:gd name="G2" fmla="+- 21600 0 0"/>
              <a:gd name="T0" fmla="*/ 192 w 21600"/>
              <a:gd name="T1" fmla="*/ 0 h 21788"/>
              <a:gd name="T2" fmla="*/ 21599 w 21600"/>
              <a:gd name="T3" fmla="*/ 21788 h 21788"/>
              <a:gd name="T4" fmla="*/ 0 w 21600"/>
              <a:gd name="T5" fmla="*/ 21599 h 21788"/>
            </a:gdLst>
            <a:ahLst/>
            <a:cxnLst>
              <a:cxn ang="0">
                <a:pos x="T0" y="T1"/>
              </a:cxn>
              <a:cxn ang="0">
                <a:pos x="T2" y="T3"/>
              </a:cxn>
              <a:cxn ang="0">
                <a:pos x="T4" y="T5"/>
              </a:cxn>
            </a:cxnLst>
            <a:rect l="0" t="0" r="r" b="b"/>
            <a:pathLst>
              <a:path w="21600" h="21788" fill="none" extrusionOk="0">
                <a:moveTo>
                  <a:pt x="192" y="-1"/>
                </a:moveTo>
                <a:cubicBezTo>
                  <a:pt x="12045" y="105"/>
                  <a:pt x="21600" y="9744"/>
                  <a:pt x="21600" y="21599"/>
                </a:cubicBezTo>
                <a:cubicBezTo>
                  <a:pt x="21600" y="21662"/>
                  <a:pt x="21599" y="21725"/>
                  <a:pt x="21599" y="21788"/>
                </a:cubicBezTo>
              </a:path>
              <a:path w="21600" h="21788" stroke="0" extrusionOk="0">
                <a:moveTo>
                  <a:pt x="192" y="-1"/>
                </a:moveTo>
                <a:cubicBezTo>
                  <a:pt x="12045" y="105"/>
                  <a:pt x="21600" y="9744"/>
                  <a:pt x="21600" y="21599"/>
                </a:cubicBezTo>
                <a:cubicBezTo>
                  <a:pt x="21600" y="21662"/>
                  <a:pt x="21599" y="21725"/>
                  <a:pt x="21599" y="21788"/>
                </a:cubicBezTo>
                <a:lnTo>
                  <a:pt x="0" y="21599"/>
                </a:lnTo>
                <a:close/>
              </a:path>
            </a:pathLst>
          </a:custGeom>
          <a:solidFill>
            <a:srgbClr val="FFFFFF"/>
          </a:solidFill>
          <a:ln w="6350">
            <a:solidFill>
              <a:srgbClr val="000000"/>
            </a:solidFill>
            <a:round/>
            <a:headEnd/>
            <a:tailEnd/>
          </a:ln>
        </xdr:spPr>
      </xdr:sp>
      <xdr:sp macro="" textlink="">
        <xdr:nvSpPr>
          <xdr:cNvPr id="609" name="Freeform 212">
            <a:extLst>
              <a:ext uri="{FF2B5EF4-FFF2-40B4-BE49-F238E27FC236}">
                <a16:creationId xmlns:a16="http://schemas.microsoft.com/office/drawing/2014/main" xmlns="" id="{D0C6C31C-F820-4761-AE72-34D36A092B67}"/>
              </a:ext>
            </a:extLst>
          </xdr:cNvPr>
          <xdr:cNvSpPr>
            <a:spLocks/>
          </xdr:cNvSpPr>
        </xdr:nvSpPr>
        <xdr:spPr bwMode="auto">
          <a:xfrm>
            <a:off x="1852541"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0" name="Arc 211">
            <a:extLst>
              <a:ext uri="{FF2B5EF4-FFF2-40B4-BE49-F238E27FC236}">
                <a16:creationId xmlns:a16="http://schemas.microsoft.com/office/drawing/2014/main" xmlns="" id="{916869D7-2619-458C-90BE-23ADC7266937}"/>
              </a:ext>
            </a:extLst>
          </xdr:cNvPr>
          <xdr:cNvSpPr>
            <a:spLocks/>
          </xdr:cNvSpPr>
        </xdr:nvSpPr>
        <xdr:spPr bwMode="auto">
          <a:xfrm>
            <a:off x="1779535" y="2908314"/>
            <a:ext cx="70467" cy="70736"/>
          </a:xfrm>
          <a:custGeom>
            <a:avLst/>
            <a:gdLst>
              <a:gd name="G0" fmla="+- 0 0 0"/>
              <a:gd name="G1" fmla="+- 0 0 0"/>
              <a:gd name="G2" fmla="+- 21600 0 0"/>
              <a:gd name="T0" fmla="*/ 21600 w 21600"/>
              <a:gd name="T1" fmla="*/ 94 h 21599"/>
              <a:gd name="T2" fmla="*/ 190 w 21600"/>
              <a:gd name="T3" fmla="*/ 21599 h 21599"/>
              <a:gd name="T4" fmla="*/ 0 w 21600"/>
              <a:gd name="T5" fmla="*/ 0 h 21599"/>
            </a:gdLst>
            <a:ahLst/>
            <a:cxnLst>
              <a:cxn ang="0">
                <a:pos x="T0" y="T1"/>
              </a:cxn>
              <a:cxn ang="0">
                <a:pos x="T2" y="T3"/>
              </a:cxn>
              <a:cxn ang="0">
                <a:pos x="T4" y="T5"/>
              </a:cxn>
            </a:cxnLst>
            <a:rect l="0" t="0" r="r" b="b"/>
            <a:pathLst>
              <a:path w="21600" h="21599" fill="none" extrusionOk="0">
                <a:moveTo>
                  <a:pt x="21599" y="93"/>
                </a:moveTo>
                <a:cubicBezTo>
                  <a:pt x="21548" y="11912"/>
                  <a:pt x="12008" y="21495"/>
                  <a:pt x="190" y="21599"/>
                </a:cubicBezTo>
              </a:path>
              <a:path w="21600" h="21599" stroke="0" extrusionOk="0">
                <a:moveTo>
                  <a:pt x="21599" y="93"/>
                </a:moveTo>
                <a:cubicBezTo>
                  <a:pt x="21548" y="11912"/>
                  <a:pt x="12008" y="21495"/>
                  <a:pt x="190" y="21599"/>
                </a:cubicBezTo>
                <a:lnTo>
                  <a:pt x="0" y="0"/>
                </a:lnTo>
                <a:close/>
              </a:path>
            </a:pathLst>
          </a:custGeom>
          <a:solidFill>
            <a:srgbClr val="FFFFFF"/>
          </a:solidFill>
          <a:ln w="6350">
            <a:solidFill>
              <a:srgbClr val="000000"/>
            </a:solidFill>
            <a:round/>
            <a:headEnd/>
            <a:tailEnd/>
          </a:ln>
        </xdr:spPr>
      </xdr:sp>
      <xdr:sp macro="" textlink="">
        <xdr:nvSpPr>
          <xdr:cNvPr id="611" name="Freeform 210">
            <a:extLst>
              <a:ext uri="{FF2B5EF4-FFF2-40B4-BE49-F238E27FC236}">
                <a16:creationId xmlns:a16="http://schemas.microsoft.com/office/drawing/2014/main" xmlns="" id="{861248A5-23B5-4F1B-9BC7-508AB348D7A2}"/>
              </a:ext>
            </a:extLst>
          </xdr:cNvPr>
          <xdr:cNvSpPr>
            <a:spLocks/>
          </xdr:cNvSpPr>
        </xdr:nvSpPr>
        <xdr:spPr bwMode="auto">
          <a:xfrm>
            <a:off x="1708433" y="2836941"/>
            <a:ext cx="635" cy="72011"/>
          </a:xfrm>
          <a:custGeom>
            <a:avLst/>
            <a:gdLst>
              <a:gd name="T0" fmla="*/ 113 h 113"/>
              <a:gd name="T1" fmla="*/ 0 h 113"/>
              <a:gd name="T2" fmla="*/ 0 h 113"/>
            </a:gdLst>
            <a:ahLst/>
            <a:cxnLst>
              <a:cxn ang="0">
                <a:pos x="0" y="T0"/>
              </a:cxn>
              <a:cxn ang="0">
                <a:pos x="0" y="T1"/>
              </a:cxn>
              <a:cxn ang="0">
                <a:pos x="0" y="T2"/>
              </a:cxn>
            </a:cxnLst>
            <a:rect l="0" t="0" r="r" b="b"/>
            <a:pathLst>
              <a:path h="113">
                <a:moveTo>
                  <a:pt x="0" y="113"/>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2" name="Arc 209">
            <a:extLst>
              <a:ext uri="{FF2B5EF4-FFF2-40B4-BE49-F238E27FC236}">
                <a16:creationId xmlns:a16="http://schemas.microsoft.com/office/drawing/2014/main" xmlns="" id="{B7C2FE5E-02B6-4CF4-9013-6B4E00CD1F16}"/>
              </a:ext>
            </a:extLst>
          </xdr:cNvPr>
          <xdr:cNvSpPr>
            <a:spLocks/>
          </xdr:cNvSpPr>
        </xdr:nvSpPr>
        <xdr:spPr bwMode="auto">
          <a:xfrm>
            <a:off x="1709068" y="2908314"/>
            <a:ext cx="71102" cy="71374"/>
          </a:xfrm>
          <a:custGeom>
            <a:avLst/>
            <a:gdLst>
              <a:gd name="G0" fmla="+- 21600 0 0"/>
              <a:gd name="G1" fmla="+- 0 0 0"/>
              <a:gd name="G2" fmla="+- 21600 0 0"/>
              <a:gd name="T0" fmla="*/ 21790 w 21790"/>
              <a:gd name="T1" fmla="*/ 21599 h 21600"/>
              <a:gd name="T2" fmla="*/ 0 w 21790"/>
              <a:gd name="T3" fmla="*/ 96 h 21600"/>
              <a:gd name="T4" fmla="*/ 21600 w 21790"/>
              <a:gd name="T5" fmla="*/ 0 h 21600"/>
            </a:gdLst>
            <a:ahLst/>
            <a:cxnLst>
              <a:cxn ang="0">
                <a:pos x="T0" y="T1"/>
              </a:cxn>
              <a:cxn ang="0">
                <a:pos x="T2" y="T3"/>
              </a:cxn>
              <a:cxn ang="0">
                <a:pos x="T4" y="T5"/>
              </a:cxn>
            </a:cxnLst>
            <a:rect l="0" t="0" r="r" b="b"/>
            <a:pathLst>
              <a:path w="21790" h="21600" fill="none" extrusionOk="0">
                <a:moveTo>
                  <a:pt x="21790" y="21599"/>
                </a:moveTo>
                <a:cubicBezTo>
                  <a:pt x="21726" y="21599"/>
                  <a:pt x="21663" y="21599"/>
                  <a:pt x="21600" y="21599"/>
                </a:cubicBezTo>
                <a:cubicBezTo>
                  <a:pt x="9708" y="21599"/>
                  <a:pt x="53" y="11987"/>
                  <a:pt x="0" y="95"/>
                </a:cubicBezTo>
              </a:path>
              <a:path w="21790" h="21600" stroke="0" extrusionOk="0">
                <a:moveTo>
                  <a:pt x="21790" y="21599"/>
                </a:moveTo>
                <a:cubicBezTo>
                  <a:pt x="21726" y="21599"/>
                  <a:pt x="21663" y="21599"/>
                  <a:pt x="21600" y="21599"/>
                </a:cubicBezTo>
                <a:cubicBezTo>
                  <a:pt x="9708" y="21599"/>
                  <a:pt x="53" y="11987"/>
                  <a:pt x="0" y="95"/>
                </a:cubicBezTo>
                <a:lnTo>
                  <a:pt x="21600" y="0"/>
                </a:lnTo>
                <a:close/>
              </a:path>
            </a:pathLst>
          </a:custGeom>
          <a:solidFill>
            <a:srgbClr val="FFFFFF"/>
          </a:solidFill>
          <a:ln w="6350">
            <a:solidFill>
              <a:srgbClr val="000000"/>
            </a:solidFill>
            <a:round/>
            <a:headEnd/>
            <a:tailEnd/>
          </a:ln>
        </xdr:spPr>
      </xdr:sp>
      <xdr:sp macro="" textlink="">
        <xdr:nvSpPr>
          <xdr:cNvPr id="613" name="Freeform 208">
            <a:extLst>
              <a:ext uri="{FF2B5EF4-FFF2-40B4-BE49-F238E27FC236}">
                <a16:creationId xmlns:a16="http://schemas.microsoft.com/office/drawing/2014/main" xmlns="" id="{6261CA2A-CE53-47D6-8F21-B337F15F2AAA}"/>
              </a:ext>
            </a:extLst>
          </xdr:cNvPr>
          <xdr:cNvSpPr>
            <a:spLocks/>
          </xdr:cNvSpPr>
        </xdr:nvSpPr>
        <xdr:spPr bwMode="auto">
          <a:xfrm>
            <a:off x="1684310" y="2852872"/>
            <a:ext cx="24124" cy="24853"/>
          </a:xfrm>
          <a:custGeom>
            <a:avLst/>
            <a:gdLst>
              <a:gd name="T0" fmla="*/ 0 w 38"/>
              <a:gd name="T1" fmla="*/ 39 h 39"/>
              <a:gd name="T2" fmla="*/ 38 w 38"/>
              <a:gd name="T3" fmla="*/ 0 h 39"/>
              <a:gd name="T4" fmla="*/ 38 w 38"/>
              <a:gd name="T5" fmla="*/ 0 h 39"/>
            </a:gdLst>
            <a:ahLst/>
            <a:cxnLst>
              <a:cxn ang="0">
                <a:pos x="T0" y="T1"/>
              </a:cxn>
              <a:cxn ang="0">
                <a:pos x="T2" y="T3"/>
              </a:cxn>
              <a:cxn ang="0">
                <a:pos x="T4" y="T5"/>
              </a:cxn>
            </a:cxnLst>
            <a:rect l="0" t="0" r="r" b="b"/>
            <a:pathLst>
              <a:path w="38" h="39">
                <a:moveTo>
                  <a:pt x="0" y="39"/>
                </a:moveTo>
                <a:lnTo>
                  <a:pt x="38"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4" name="Freeform 207">
            <a:extLst>
              <a:ext uri="{FF2B5EF4-FFF2-40B4-BE49-F238E27FC236}">
                <a16:creationId xmlns:a16="http://schemas.microsoft.com/office/drawing/2014/main" xmlns="" id="{F1DEA66D-2357-4CA7-A4FB-2A399B41224A}"/>
              </a:ext>
            </a:extLst>
          </xdr:cNvPr>
          <xdr:cNvSpPr>
            <a:spLocks/>
          </xdr:cNvSpPr>
        </xdr:nvSpPr>
        <xdr:spPr bwMode="auto">
          <a:xfrm>
            <a:off x="1796041" y="2692919"/>
            <a:ext cx="73641" cy="73285"/>
          </a:xfrm>
          <a:custGeom>
            <a:avLst/>
            <a:gdLst>
              <a:gd name="T0" fmla="*/ 0 w 116"/>
              <a:gd name="T1" fmla="*/ 115 h 115"/>
              <a:gd name="T2" fmla="*/ 116 w 116"/>
              <a:gd name="T3" fmla="*/ 0 h 115"/>
              <a:gd name="T4" fmla="*/ 116 w 116"/>
              <a:gd name="T5" fmla="*/ 0 h 115"/>
            </a:gdLst>
            <a:ahLst/>
            <a:cxnLst>
              <a:cxn ang="0">
                <a:pos x="T0" y="T1"/>
              </a:cxn>
              <a:cxn ang="0">
                <a:pos x="T2" y="T3"/>
              </a:cxn>
              <a:cxn ang="0">
                <a:pos x="T4" y="T5"/>
              </a:cxn>
            </a:cxnLst>
            <a:rect l="0" t="0" r="r" b="b"/>
            <a:pathLst>
              <a:path w="116" h="115">
                <a:moveTo>
                  <a:pt x="0" y="115"/>
                </a:moveTo>
                <a:lnTo>
                  <a:pt x="11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5" name="Freeform 206">
            <a:extLst>
              <a:ext uri="{FF2B5EF4-FFF2-40B4-BE49-F238E27FC236}">
                <a16:creationId xmlns:a16="http://schemas.microsoft.com/office/drawing/2014/main" xmlns="" id="{FD76FD2F-15DC-4235-B8FE-8C8927DA9BF5}"/>
              </a:ext>
            </a:extLst>
          </xdr:cNvPr>
          <xdr:cNvSpPr>
            <a:spLocks/>
          </xdr:cNvSpPr>
        </xdr:nvSpPr>
        <xdr:spPr bwMode="auto">
          <a:xfrm>
            <a:off x="1808738" y="2692919"/>
            <a:ext cx="78085" cy="77746"/>
          </a:xfrm>
          <a:custGeom>
            <a:avLst/>
            <a:gdLst>
              <a:gd name="T0" fmla="*/ 123 w 123"/>
              <a:gd name="T1" fmla="*/ 0 h 122"/>
              <a:gd name="T2" fmla="*/ 0 w 123"/>
              <a:gd name="T3" fmla="*/ 122 h 122"/>
              <a:gd name="T4" fmla="*/ 0 w 123"/>
              <a:gd name="T5" fmla="*/ 122 h 122"/>
            </a:gdLst>
            <a:ahLst/>
            <a:cxnLst>
              <a:cxn ang="0">
                <a:pos x="T0" y="T1"/>
              </a:cxn>
              <a:cxn ang="0">
                <a:pos x="T2" y="T3"/>
              </a:cxn>
              <a:cxn ang="0">
                <a:pos x="T4" y="T5"/>
              </a:cxn>
            </a:cxnLst>
            <a:rect l="0" t="0" r="r" b="b"/>
            <a:pathLst>
              <a:path w="123" h="122">
                <a:moveTo>
                  <a:pt x="123" y="0"/>
                </a:moveTo>
                <a:lnTo>
                  <a:pt x="0" y="122"/>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6" name="Freeform 205">
            <a:extLst>
              <a:ext uri="{FF2B5EF4-FFF2-40B4-BE49-F238E27FC236}">
                <a16:creationId xmlns:a16="http://schemas.microsoft.com/office/drawing/2014/main" xmlns="" id="{78431914-B3F3-4270-96A5-ACB641A9A47F}"/>
              </a:ext>
            </a:extLst>
          </xdr:cNvPr>
          <xdr:cNvSpPr>
            <a:spLocks/>
          </xdr:cNvSpPr>
        </xdr:nvSpPr>
        <xdr:spPr bwMode="auto">
          <a:xfrm>
            <a:off x="1684310" y="2871353"/>
            <a:ext cx="22854" cy="23579"/>
          </a:xfrm>
          <a:custGeom>
            <a:avLst/>
            <a:gdLst>
              <a:gd name="T0" fmla="*/ 36 w 36"/>
              <a:gd name="T1" fmla="*/ 0 h 37"/>
              <a:gd name="T2" fmla="*/ 0 w 36"/>
              <a:gd name="T3" fmla="*/ 37 h 37"/>
              <a:gd name="T4" fmla="*/ 0 w 36"/>
              <a:gd name="T5" fmla="*/ 37 h 37"/>
            </a:gdLst>
            <a:ahLst/>
            <a:cxnLst>
              <a:cxn ang="0">
                <a:pos x="T0" y="T1"/>
              </a:cxn>
              <a:cxn ang="0">
                <a:pos x="T2" y="T3"/>
              </a:cxn>
              <a:cxn ang="0">
                <a:pos x="T4" y="T5"/>
              </a:cxn>
            </a:cxnLst>
            <a:rect l="0" t="0" r="r" b="b"/>
            <a:pathLst>
              <a:path w="36" h="37">
                <a:moveTo>
                  <a:pt x="36" y="0"/>
                </a:moveTo>
                <a:lnTo>
                  <a:pt x="0" y="37"/>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 name="Freeform 204">
            <a:extLst>
              <a:ext uri="{FF2B5EF4-FFF2-40B4-BE49-F238E27FC236}">
                <a16:creationId xmlns:a16="http://schemas.microsoft.com/office/drawing/2014/main" xmlns="" id="{CD1C7964-A71A-4CFC-BB5D-0885430ABFF1}"/>
              </a:ext>
            </a:extLst>
          </xdr:cNvPr>
          <xdr:cNvSpPr>
            <a:spLocks/>
          </xdr:cNvSpPr>
        </xdr:nvSpPr>
        <xdr:spPr bwMode="auto">
          <a:xfrm>
            <a:off x="1684310" y="2887285"/>
            <a:ext cx="24124" cy="24216"/>
          </a:xfrm>
          <a:custGeom>
            <a:avLst/>
            <a:gdLst>
              <a:gd name="T0" fmla="*/ 0 w 38"/>
              <a:gd name="T1" fmla="*/ 38 h 38"/>
              <a:gd name="T2" fmla="*/ 38 w 38"/>
              <a:gd name="T3" fmla="*/ 0 h 38"/>
              <a:gd name="T4" fmla="*/ 38 w 38"/>
              <a:gd name="T5" fmla="*/ 0 h 38"/>
            </a:gdLst>
            <a:ahLst/>
            <a:cxnLst>
              <a:cxn ang="0">
                <a:pos x="T0" y="T1"/>
              </a:cxn>
              <a:cxn ang="0">
                <a:pos x="T2" y="T3"/>
              </a:cxn>
              <a:cxn ang="0">
                <a:pos x="T4" y="T5"/>
              </a:cxn>
            </a:cxnLst>
            <a:rect l="0" t="0" r="r" b="b"/>
            <a:pathLst>
              <a:path w="38" h="38">
                <a:moveTo>
                  <a:pt x="0" y="38"/>
                </a:moveTo>
                <a:lnTo>
                  <a:pt x="38"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8" name="Freeform 203">
            <a:extLst>
              <a:ext uri="{FF2B5EF4-FFF2-40B4-BE49-F238E27FC236}">
                <a16:creationId xmlns:a16="http://schemas.microsoft.com/office/drawing/2014/main" xmlns="" id="{8D77F7E9-88EA-4130-88E5-6466817588AD}"/>
              </a:ext>
            </a:extLst>
          </xdr:cNvPr>
          <xdr:cNvSpPr>
            <a:spLocks/>
          </xdr:cNvSpPr>
        </xdr:nvSpPr>
        <xdr:spPr bwMode="auto">
          <a:xfrm>
            <a:off x="1819530" y="2692919"/>
            <a:ext cx="84433" cy="83482"/>
          </a:xfrm>
          <a:custGeom>
            <a:avLst/>
            <a:gdLst>
              <a:gd name="T0" fmla="*/ 0 w 133"/>
              <a:gd name="T1" fmla="*/ 131 h 131"/>
              <a:gd name="T2" fmla="*/ 133 w 133"/>
              <a:gd name="T3" fmla="*/ 0 h 131"/>
              <a:gd name="T4" fmla="*/ 133 w 133"/>
              <a:gd name="T5" fmla="*/ 0 h 131"/>
            </a:gdLst>
            <a:ahLst/>
            <a:cxnLst>
              <a:cxn ang="0">
                <a:pos x="T0" y="T1"/>
              </a:cxn>
              <a:cxn ang="0">
                <a:pos x="T2" y="T3"/>
              </a:cxn>
              <a:cxn ang="0">
                <a:pos x="T4" y="T5"/>
              </a:cxn>
            </a:cxnLst>
            <a:rect l="0" t="0" r="r" b="b"/>
            <a:pathLst>
              <a:path w="133" h="131">
                <a:moveTo>
                  <a:pt x="0" y="131"/>
                </a:moveTo>
                <a:lnTo>
                  <a:pt x="13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9" name="Freeform 202">
            <a:extLst>
              <a:ext uri="{FF2B5EF4-FFF2-40B4-BE49-F238E27FC236}">
                <a16:creationId xmlns:a16="http://schemas.microsoft.com/office/drawing/2014/main" xmlns="" id="{933928C5-BFF7-4960-BF57-B713D2952A96}"/>
              </a:ext>
            </a:extLst>
          </xdr:cNvPr>
          <xdr:cNvSpPr>
            <a:spLocks/>
          </xdr:cNvSpPr>
        </xdr:nvSpPr>
        <xdr:spPr bwMode="auto">
          <a:xfrm>
            <a:off x="2086796" y="2968217"/>
            <a:ext cx="84433" cy="85393"/>
          </a:xfrm>
          <a:custGeom>
            <a:avLst/>
            <a:gdLst>
              <a:gd name="T0" fmla="*/ 0 w 133"/>
              <a:gd name="T1" fmla="*/ 134 h 134"/>
              <a:gd name="T2" fmla="*/ 133 w 133"/>
              <a:gd name="T3" fmla="*/ 0 h 134"/>
              <a:gd name="T4" fmla="*/ 133 w 133"/>
              <a:gd name="T5" fmla="*/ 0 h 134"/>
            </a:gdLst>
            <a:ahLst/>
            <a:cxnLst>
              <a:cxn ang="0">
                <a:pos x="T0" y="T1"/>
              </a:cxn>
              <a:cxn ang="0">
                <a:pos x="T2" y="T3"/>
              </a:cxn>
              <a:cxn ang="0">
                <a:pos x="T4" y="T5"/>
              </a:cxn>
            </a:cxnLst>
            <a:rect l="0" t="0" r="r" b="b"/>
            <a:pathLst>
              <a:path w="133" h="134">
                <a:moveTo>
                  <a:pt x="0" y="134"/>
                </a:moveTo>
                <a:lnTo>
                  <a:pt x="13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20" name="Freeform 201">
            <a:extLst>
              <a:ext uri="{FF2B5EF4-FFF2-40B4-BE49-F238E27FC236}">
                <a16:creationId xmlns:a16="http://schemas.microsoft.com/office/drawing/2014/main" xmlns="" id="{9D12A7B6-B1F8-45E7-811F-DDA912380C35}"/>
              </a:ext>
            </a:extLst>
          </xdr:cNvPr>
          <xdr:cNvSpPr>
            <a:spLocks/>
          </xdr:cNvSpPr>
        </xdr:nvSpPr>
        <xdr:spPr bwMode="auto">
          <a:xfrm>
            <a:off x="2284866" y="2692919"/>
            <a:ext cx="161883" cy="162502"/>
          </a:xfrm>
          <a:custGeom>
            <a:avLst/>
            <a:gdLst>
              <a:gd name="T0" fmla="*/ 0 w 255"/>
              <a:gd name="T1" fmla="*/ 255 h 255"/>
              <a:gd name="T2" fmla="*/ 255 w 255"/>
              <a:gd name="T3" fmla="*/ 0 h 255"/>
              <a:gd name="T4" fmla="*/ 255 w 255"/>
              <a:gd name="T5" fmla="*/ 0 h 255"/>
            </a:gdLst>
            <a:ahLst/>
            <a:cxnLst>
              <a:cxn ang="0">
                <a:pos x="T0" y="T1"/>
              </a:cxn>
              <a:cxn ang="0">
                <a:pos x="T2" y="T3"/>
              </a:cxn>
              <a:cxn ang="0">
                <a:pos x="T4" y="T5"/>
              </a:cxn>
            </a:cxnLst>
            <a:rect l="0" t="0" r="r" b="b"/>
            <a:pathLst>
              <a:path w="255" h="255">
                <a:moveTo>
                  <a:pt x="0" y="255"/>
                </a:moveTo>
                <a:lnTo>
                  <a:pt x="25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21" name="Freeform 200">
            <a:extLst>
              <a:ext uri="{FF2B5EF4-FFF2-40B4-BE49-F238E27FC236}">
                <a16:creationId xmlns:a16="http://schemas.microsoft.com/office/drawing/2014/main" xmlns="" id="{51BCCBE3-9F80-4A99-A2C4-D9174967BD15}"/>
              </a:ext>
            </a:extLst>
          </xdr:cNvPr>
          <xdr:cNvSpPr>
            <a:spLocks/>
          </xdr:cNvSpPr>
        </xdr:nvSpPr>
        <xdr:spPr bwMode="auto">
          <a:xfrm>
            <a:off x="2103937" y="2974590"/>
            <a:ext cx="78720" cy="79021"/>
          </a:xfrm>
          <a:custGeom>
            <a:avLst/>
            <a:gdLst>
              <a:gd name="T0" fmla="*/ 0 w 124"/>
              <a:gd name="T1" fmla="*/ 124 h 124"/>
              <a:gd name="T2" fmla="*/ 124 w 124"/>
              <a:gd name="T3" fmla="*/ 0 h 124"/>
              <a:gd name="T4" fmla="*/ 124 w 124"/>
              <a:gd name="T5" fmla="*/ 0 h 124"/>
            </a:gdLst>
            <a:ahLst/>
            <a:cxnLst>
              <a:cxn ang="0">
                <a:pos x="T0" y="T1"/>
              </a:cxn>
              <a:cxn ang="0">
                <a:pos x="T2" y="T3"/>
              </a:cxn>
              <a:cxn ang="0">
                <a:pos x="T4" y="T5"/>
              </a:cxn>
            </a:cxnLst>
            <a:rect l="0" t="0" r="r" b="b"/>
            <a:pathLst>
              <a:path w="124" h="124">
                <a:moveTo>
                  <a:pt x="0" y="124"/>
                </a:moveTo>
                <a:lnTo>
                  <a:pt x="12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22" name="Freeform 199">
            <a:extLst>
              <a:ext uri="{FF2B5EF4-FFF2-40B4-BE49-F238E27FC236}">
                <a16:creationId xmlns:a16="http://schemas.microsoft.com/office/drawing/2014/main" xmlns="" id="{5825EBFC-59C8-43F8-9A66-4DBB3E43A465}"/>
              </a:ext>
            </a:extLst>
          </xdr:cNvPr>
          <xdr:cNvSpPr>
            <a:spLocks/>
          </xdr:cNvSpPr>
        </xdr:nvSpPr>
        <xdr:spPr bwMode="auto">
          <a:xfrm>
            <a:off x="2284866" y="2692919"/>
            <a:ext cx="178389" cy="179071"/>
          </a:xfrm>
          <a:custGeom>
            <a:avLst/>
            <a:gdLst>
              <a:gd name="T0" fmla="*/ 0 w 281"/>
              <a:gd name="T1" fmla="*/ 281 h 281"/>
              <a:gd name="T2" fmla="*/ 281 w 281"/>
              <a:gd name="T3" fmla="*/ 0 h 281"/>
              <a:gd name="T4" fmla="*/ 281 w 281"/>
              <a:gd name="T5" fmla="*/ 0 h 281"/>
            </a:gdLst>
            <a:ahLst/>
            <a:cxnLst>
              <a:cxn ang="0">
                <a:pos x="T0" y="T1"/>
              </a:cxn>
              <a:cxn ang="0">
                <a:pos x="T2" y="T3"/>
              </a:cxn>
              <a:cxn ang="0">
                <a:pos x="T4" y="T5"/>
              </a:cxn>
            </a:cxnLst>
            <a:rect l="0" t="0" r="r" b="b"/>
            <a:pathLst>
              <a:path w="281" h="281">
                <a:moveTo>
                  <a:pt x="0" y="281"/>
                </a:moveTo>
                <a:lnTo>
                  <a:pt x="281" y="0"/>
                </a:lnTo>
              </a:path>
            </a:pathLst>
          </a:custGeom>
          <a:solidFill>
            <a:srgbClr val="FFFFFF"/>
          </a:solidFill>
          <a:ln w="6350">
            <a:solidFill>
              <a:srgbClr val="000000"/>
            </a:solidFill>
            <a:round/>
            <a:headEnd/>
            <a:tailEnd/>
          </a:ln>
        </xdr:spPr>
      </xdr:sp>
      <xdr:sp macro="" textlink="">
        <xdr:nvSpPr>
          <xdr:cNvPr id="623" name="Freeform 198">
            <a:extLst>
              <a:ext uri="{FF2B5EF4-FFF2-40B4-BE49-F238E27FC236}">
                <a16:creationId xmlns:a16="http://schemas.microsoft.com/office/drawing/2014/main" xmlns="" id="{8D593156-953C-4913-8439-72BC061AB457}"/>
              </a:ext>
            </a:extLst>
          </xdr:cNvPr>
          <xdr:cNvSpPr>
            <a:spLocks/>
          </xdr:cNvSpPr>
        </xdr:nvSpPr>
        <xdr:spPr bwMode="auto">
          <a:xfrm>
            <a:off x="2120443" y="2979051"/>
            <a:ext cx="74276" cy="74560"/>
          </a:xfrm>
          <a:custGeom>
            <a:avLst/>
            <a:gdLst>
              <a:gd name="T0" fmla="*/ 0 w 117"/>
              <a:gd name="T1" fmla="*/ 117 h 117"/>
              <a:gd name="T2" fmla="*/ 117 w 117"/>
              <a:gd name="T3" fmla="*/ 0 h 117"/>
              <a:gd name="T4" fmla="*/ 117 w 117"/>
              <a:gd name="T5" fmla="*/ 0 h 117"/>
            </a:gdLst>
            <a:ahLst/>
            <a:cxnLst>
              <a:cxn ang="0">
                <a:pos x="T0" y="T1"/>
              </a:cxn>
              <a:cxn ang="0">
                <a:pos x="T2" y="T3"/>
              </a:cxn>
              <a:cxn ang="0">
                <a:pos x="T4" y="T5"/>
              </a:cxn>
            </a:cxnLst>
            <a:rect l="0" t="0" r="r" b="b"/>
            <a:pathLst>
              <a:path w="117" h="117">
                <a:moveTo>
                  <a:pt x="0" y="117"/>
                </a:moveTo>
                <a:lnTo>
                  <a:pt x="11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24" name="Freeform 197">
            <a:extLst>
              <a:ext uri="{FF2B5EF4-FFF2-40B4-BE49-F238E27FC236}">
                <a16:creationId xmlns:a16="http://schemas.microsoft.com/office/drawing/2014/main" xmlns="" id="{9809840A-0A3B-4A53-B4CE-C89D88A26C6C}"/>
              </a:ext>
            </a:extLst>
          </xdr:cNvPr>
          <xdr:cNvSpPr>
            <a:spLocks/>
          </xdr:cNvSpPr>
        </xdr:nvSpPr>
        <xdr:spPr bwMode="auto">
          <a:xfrm>
            <a:off x="2284866" y="2812725"/>
            <a:ext cx="76180" cy="76472"/>
          </a:xfrm>
          <a:custGeom>
            <a:avLst/>
            <a:gdLst>
              <a:gd name="T0" fmla="*/ 0 w 120"/>
              <a:gd name="T1" fmla="*/ 120 h 120"/>
              <a:gd name="T2" fmla="*/ 120 w 120"/>
              <a:gd name="T3" fmla="*/ 0 h 120"/>
              <a:gd name="T4" fmla="*/ 120 w 120"/>
              <a:gd name="T5" fmla="*/ 0 h 120"/>
            </a:gdLst>
            <a:ahLst/>
            <a:cxnLst>
              <a:cxn ang="0">
                <a:pos x="T0" y="T1"/>
              </a:cxn>
              <a:cxn ang="0">
                <a:pos x="T2" y="T3"/>
              </a:cxn>
              <a:cxn ang="0">
                <a:pos x="T4" y="T5"/>
              </a:cxn>
            </a:cxnLst>
            <a:rect l="0" t="0" r="r" b="b"/>
            <a:pathLst>
              <a:path w="120" h="120">
                <a:moveTo>
                  <a:pt x="0" y="120"/>
                </a:moveTo>
                <a:lnTo>
                  <a:pt x="12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25" name="Freeform 196">
            <a:extLst>
              <a:ext uri="{FF2B5EF4-FFF2-40B4-BE49-F238E27FC236}">
                <a16:creationId xmlns:a16="http://schemas.microsoft.com/office/drawing/2014/main" xmlns="" id="{F7B3E2A3-D4CF-4C39-931F-F4AEBE3AEBC2}"/>
              </a:ext>
            </a:extLst>
          </xdr:cNvPr>
          <xdr:cNvSpPr>
            <a:spLocks/>
          </xdr:cNvSpPr>
        </xdr:nvSpPr>
        <xdr:spPr bwMode="auto">
          <a:xfrm>
            <a:off x="2404215" y="2692919"/>
            <a:ext cx="76180" cy="75834"/>
          </a:xfrm>
          <a:custGeom>
            <a:avLst/>
            <a:gdLst>
              <a:gd name="T0" fmla="*/ 0 w 120"/>
              <a:gd name="T1" fmla="*/ 119 h 119"/>
              <a:gd name="T2" fmla="*/ 120 w 120"/>
              <a:gd name="T3" fmla="*/ 0 h 119"/>
              <a:gd name="T4" fmla="*/ 120 w 120"/>
              <a:gd name="T5" fmla="*/ 0 h 119"/>
            </a:gdLst>
            <a:ahLst/>
            <a:cxnLst>
              <a:cxn ang="0">
                <a:pos x="T0" y="T1"/>
              </a:cxn>
              <a:cxn ang="0">
                <a:pos x="T2" y="T3"/>
              </a:cxn>
              <a:cxn ang="0">
                <a:pos x="T4" y="T5"/>
              </a:cxn>
            </a:cxnLst>
            <a:rect l="0" t="0" r="r" b="b"/>
            <a:pathLst>
              <a:path w="120" h="119">
                <a:moveTo>
                  <a:pt x="0" y="119"/>
                </a:moveTo>
                <a:lnTo>
                  <a:pt x="12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26" name="Freeform 195">
            <a:extLst>
              <a:ext uri="{FF2B5EF4-FFF2-40B4-BE49-F238E27FC236}">
                <a16:creationId xmlns:a16="http://schemas.microsoft.com/office/drawing/2014/main" xmlns="" id="{BC40A0E3-DDF9-4359-A531-EC31222B4F51}"/>
              </a:ext>
            </a:extLst>
          </xdr:cNvPr>
          <xdr:cNvSpPr>
            <a:spLocks/>
          </xdr:cNvSpPr>
        </xdr:nvSpPr>
        <xdr:spPr bwMode="auto">
          <a:xfrm>
            <a:off x="2663863" y="2926158"/>
            <a:ext cx="126967" cy="127453"/>
          </a:xfrm>
          <a:custGeom>
            <a:avLst/>
            <a:gdLst>
              <a:gd name="T0" fmla="*/ 0 w 200"/>
              <a:gd name="T1" fmla="*/ 200 h 200"/>
              <a:gd name="T2" fmla="*/ 200 w 200"/>
              <a:gd name="T3" fmla="*/ 0 h 200"/>
              <a:gd name="T4" fmla="*/ 200 w 200"/>
              <a:gd name="T5" fmla="*/ 0 h 200"/>
            </a:gdLst>
            <a:ahLst/>
            <a:cxnLst>
              <a:cxn ang="0">
                <a:pos x="T0" y="T1"/>
              </a:cxn>
              <a:cxn ang="0">
                <a:pos x="T2" y="T3"/>
              </a:cxn>
              <a:cxn ang="0">
                <a:pos x="T4" y="T5"/>
              </a:cxn>
            </a:cxnLst>
            <a:rect l="0" t="0" r="r" b="b"/>
            <a:pathLst>
              <a:path w="200" h="200">
                <a:moveTo>
                  <a:pt x="0" y="200"/>
                </a:moveTo>
                <a:lnTo>
                  <a:pt x="20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27" name="Freeform 194">
            <a:extLst>
              <a:ext uri="{FF2B5EF4-FFF2-40B4-BE49-F238E27FC236}">
                <a16:creationId xmlns:a16="http://schemas.microsoft.com/office/drawing/2014/main" xmlns="" id="{411E2E2F-DCC4-45BD-83FC-E20BC75BA694}"/>
              </a:ext>
            </a:extLst>
          </xdr:cNvPr>
          <xdr:cNvSpPr>
            <a:spLocks/>
          </xdr:cNvSpPr>
        </xdr:nvSpPr>
        <xdr:spPr bwMode="auto">
          <a:xfrm>
            <a:off x="2919703" y="2692919"/>
            <a:ext cx="103478" cy="103237"/>
          </a:xfrm>
          <a:custGeom>
            <a:avLst/>
            <a:gdLst>
              <a:gd name="T0" fmla="*/ 0 w 163"/>
              <a:gd name="T1" fmla="*/ 162 h 162"/>
              <a:gd name="T2" fmla="*/ 163 w 163"/>
              <a:gd name="T3" fmla="*/ 0 h 162"/>
              <a:gd name="T4" fmla="*/ 163 w 163"/>
              <a:gd name="T5" fmla="*/ 0 h 162"/>
            </a:gdLst>
            <a:ahLst/>
            <a:cxnLst>
              <a:cxn ang="0">
                <a:pos x="T0" y="T1"/>
              </a:cxn>
              <a:cxn ang="0">
                <a:pos x="T2" y="T3"/>
              </a:cxn>
              <a:cxn ang="0">
                <a:pos x="T4" y="T5"/>
              </a:cxn>
            </a:cxnLst>
            <a:rect l="0" t="0" r="r" b="b"/>
            <a:pathLst>
              <a:path w="163" h="162">
                <a:moveTo>
                  <a:pt x="0" y="162"/>
                </a:moveTo>
                <a:lnTo>
                  <a:pt x="16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28" name="Freeform 193">
            <a:extLst>
              <a:ext uri="{FF2B5EF4-FFF2-40B4-BE49-F238E27FC236}">
                <a16:creationId xmlns:a16="http://schemas.microsoft.com/office/drawing/2014/main" xmlns="" id="{ED39F399-74AC-4CB7-AF1F-D0EF466F43E1}"/>
              </a:ext>
            </a:extLst>
          </xdr:cNvPr>
          <xdr:cNvSpPr>
            <a:spLocks/>
          </xdr:cNvSpPr>
        </xdr:nvSpPr>
        <xdr:spPr bwMode="auto">
          <a:xfrm>
            <a:off x="2680369" y="2938903"/>
            <a:ext cx="114271" cy="114707"/>
          </a:xfrm>
          <a:custGeom>
            <a:avLst/>
            <a:gdLst>
              <a:gd name="T0" fmla="*/ 0 w 180"/>
              <a:gd name="T1" fmla="*/ 180 h 180"/>
              <a:gd name="T2" fmla="*/ 180 w 180"/>
              <a:gd name="T3" fmla="*/ 0 h 180"/>
              <a:gd name="T4" fmla="*/ 180 w 180"/>
              <a:gd name="T5" fmla="*/ 0 h 180"/>
            </a:gdLst>
            <a:ahLst/>
            <a:cxnLst>
              <a:cxn ang="0">
                <a:pos x="T0" y="T1"/>
              </a:cxn>
              <a:cxn ang="0">
                <a:pos x="T2" y="T3"/>
              </a:cxn>
              <a:cxn ang="0">
                <a:pos x="T4" y="T5"/>
              </a:cxn>
            </a:cxnLst>
            <a:rect l="0" t="0" r="r" b="b"/>
            <a:pathLst>
              <a:path w="180" h="180">
                <a:moveTo>
                  <a:pt x="0" y="180"/>
                </a:moveTo>
                <a:lnTo>
                  <a:pt x="18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29" name="Freeform 192">
            <a:extLst>
              <a:ext uri="{FF2B5EF4-FFF2-40B4-BE49-F238E27FC236}">
                <a16:creationId xmlns:a16="http://schemas.microsoft.com/office/drawing/2014/main" xmlns="" id="{0A322D8A-59B2-4A4D-B97A-1BC0C0DBF2B8}"/>
              </a:ext>
            </a:extLst>
          </xdr:cNvPr>
          <xdr:cNvSpPr>
            <a:spLocks/>
          </xdr:cNvSpPr>
        </xdr:nvSpPr>
        <xdr:spPr bwMode="auto">
          <a:xfrm>
            <a:off x="2926051" y="2692919"/>
            <a:ext cx="114271" cy="114070"/>
          </a:xfrm>
          <a:custGeom>
            <a:avLst/>
            <a:gdLst>
              <a:gd name="T0" fmla="*/ 0 w 180"/>
              <a:gd name="T1" fmla="*/ 179 h 179"/>
              <a:gd name="T2" fmla="*/ 180 w 180"/>
              <a:gd name="T3" fmla="*/ 0 h 179"/>
              <a:gd name="T4" fmla="*/ 180 w 180"/>
              <a:gd name="T5" fmla="*/ 0 h 179"/>
            </a:gdLst>
            <a:ahLst/>
            <a:cxnLst>
              <a:cxn ang="0">
                <a:pos x="T0" y="T1"/>
              </a:cxn>
              <a:cxn ang="0">
                <a:pos x="T2" y="T3"/>
              </a:cxn>
              <a:cxn ang="0">
                <a:pos x="T4" y="T5"/>
              </a:cxn>
            </a:cxnLst>
            <a:rect l="0" t="0" r="r" b="b"/>
            <a:pathLst>
              <a:path w="180" h="179">
                <a:moveTo>
                  <a:pt x="0" y="179"/>
                </a:moveTo>
                <a:lnTo>
                  <a:pt x="18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30" name="Freeform 191">
            <a:extLst>
              <a:ext uri="{FF2B5EF4-FFF2-40B4-BE49-F238E27FC236}">
                <a16:creationId xmlns:a16="http://schemas.microsoft.com/office/drawing/2014/main" xmlns="" id="{589CF721-D8BC-400D-8E4F-B00246F190DB}"/>
              </a:ext>
            </a:extLst>
          </xdr:cNvPr>
          <xdr:cNvSpPr>
            <a:spLocks/>
          </xdr:cNvSpPr>
        </xdr:nvSpPr>
        <xdr:spPr bwMode="auto">
          <a:xfrm>
            <a:off x="2697510" y="2949736"/>
            <a:ext cx="103478" cy="103874"/>
          </a:xfrm>
          <a:custGeom>
            <a:avLst/>
            <a:gdLst>
              <a:gd name="T0" fmla="*/ 0 w 163"/>
              <a:gd name="T1" fmla="*/ 163 h 163"/>
              <a:gd name="T2" fmla="*/ 163 w 163"/>
              <a:gd name="T3" fmla="*/ 0 h 163"/>
              <a:gd name="T4" fmla="*/ 163 w 163"/>
              <a:gd name="T5" fmla="*/ 0 h 163"/>
            </a:gdLst>
            <a:ahLst/>
            <a:cxnLst>
              <a:cxn ang="0">
                <a:pos x="T0" y="T1"/>
              </a:cxn>
              <a:cxn ang="0">
                <a:pos x="T2" y="T3"/>
              </a:cxn>
              <a:cxn ang="0">
                <a:pos x="T4" y="T5"/>
              </a:cxn>
            </a:cxnLst>
            <a:rect l="0" t="0" r="r" b="b"/>
            <a:pathLst>
              <a:path w="163" h="163">
                <a:moveTo>
                  <a:pt x="0" y="163"/>
                </a:moveTo>
                <a:lnTo>
                  <a:pt x="16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31" name="Freeform 190">
            <a:extLst>
              <a:ext uri="{FF2B5EF4-FFF2-40B4-BE49-F238E27FC236}">
                <a16:creationId xmlns:a16="http://schemas.microsoft.com/office/drawing/2014/main" xmlns="" id="{D047F901-5234-45D9-A92B-C1C163EC1C81}"/>
              </a:ext>
            </a:extLst>
          </xdr:cNvPr>
          <xdr:cNvSpPr>
            <a:spLocks/>
          </xdr:cNvSpPr>
        </xdr:nvSpPr>
        <xdr:spPr bwMode="auto">
          <a:xfrm>
            <a:off x="2930495" y="2692919"/>
            <a:ext cx="126967" cy="126815"/>
          </a:xfrm>
          <a:custGeom>
            <a:avLst/>
            <a:gdLst>
              <a:gd name="T0" fmla="*/ 0 w 200"/>
              <a:gd name="T1" fmla="*/ 199 h 199"/>
              <a:gd name="T2" fmla="*/ 200 w 200"/>
              <a:gd name="T3" fmla="*/ 0 h 199"/>
              <a:gd name="T4" fmla="*/ 200 w 200"/>
              <a:gd name="T5" fmla="*/ 0 h 199"/>
            </a:gdLst>
            <a:ahLst/>
            <a:cxnLst>
              <a:cxn ang="0">
                <a:pos x="T0" y="T1"/>
              </a:cxn>
              <a:cxn ang="0">
                <a:pos x="T2" y="T3"/>
              </a:cxn>
              <a:cxn ang="0">
                <a:pos x="T4" y="T5"/>
              </a:cxn>
            </a:cxnLst>
            <a:rect l="0" t="0" r="r" b="b"/>
            <a:pathLst>
              <a:path w="200" h="199">
                <a:moveTo>
                  <a:pt x="0" y="199"/>
                </a:moveTo>
                <a:lnTo>
                  <a:pt x="20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32" name="Freeform 189">
            <a:extLst>
              <a:ext uri="{FF2B5EF4-FFF2-40B4-BE49-F238E27FC236}">
                <a16:creationId xmlns:a16="http://schemas.microsoft.com/office/drawing/2014/main" xmlns="" id="{50D3F599-6A79-49DD-AB62-3C9075B2A68A}"/>
              </a:ext>
            </a:extLst>
          </xdr:cNvPr>
          <xdr:cNvSpPr>
            <a:spLocks/>
          </xdr:cNvSpPr>
        </xdr:nvSpPr>
        <xdr:spPr bwMode="auto">
          <a:xfrm>
            <a:off x="3240295" y="2977139"/>
            <a:ext cx="76180" cy="76472"/>
          </a:xfrm>
          <a:custGeom>
            <a:avLst/>
            <a:gdLst>
              <a:gd name="T0" fmla="*/ 0 w 120"/>
              <a:gd name="T1" fmla="*/ 120 h 120"/>
              <a:gd name="T2" fmla="*/ 120 w 120"/>
              <a:gd name="T3" fmla="*/ 0 h 120"/>
              <a:gd name="T4" fmla="*/ 120 w 120"/>
              <a:gd name="T5" fmla="*/ 0 h 120"/>
            </a:gdLst>
            <a:ahLst/>
            <a:cxnLst>
              <a:cxn ang="0">
                <a:pos x="T0" y="T1"/>
              </a:cxn>
              <a:cxn ang="0">
                <a:pos x="T2" y="T3"/>
              </a:cxn>
              <a:cxn ang="0">
                <a:pos x="T4" y="T5"/>
              </a:cxn>
            </a:cxnLst>
            <a:rect l="0" t="0" r="r" b="b"/>
            <a:pathLst>
              <a:path w="120" h="120">
                <a:moveTo>
                  <a:pt x="0" y="120"/>
                </a:moveTo>
                <a:lnTo>
                  <a:pt x="12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33" name="Freeform 188">
            <a:extLst>
              <a:ext uri="{FF2B5EF4-FFF2-40B4-BE49-F238E27FC236}">
                <a16:creationId xmlns:a16="http://schemas.microsoft.com/office/drawing/2014/main" xmlns="" id="{9970BC73-2DA0-4F43-AF93-A10EAB88CEF1}"/>
              </a:ext>
            </a:extLst>
          </xdr:cNvPr>
          <xdr:cNvSpPr>
            <a:spLocks/>
          </xdr:cNvSpPr>
        </xdr:nvSpPr>
        <xdr:spPr bwMode="auto">
          <a:xfrm>
            <a:off x="3360280" y="2857333"/>
            <a:ext cx="76180" cy="76472"/>
          </a:xfrm>
          <a:custGeom>
            <a:avLst/>
            <a:gdLst>
              <a:gd name="T0" fmla="*/ 0 w 120"/>
              <a:gd name="T1" fmla="*/ 120 h 120"/>
              <a:gd name="T2" fmla="*/ 120 w 120"/>
              <a:gd name="T3" fmla="*/ 0 h 120"/>
              <a:gd name="T4" fmla="*/ 120 w 120"/>
              <a:gd name="T5" fmla="*/ 0 h 120"/>
            </a:gdLst>
            <a:ahLst/>
            <a:cxnLst>
              <a:cxn ang="0">
                <a:pos x="T0" y="T1"/>
              </a:cxn>
              <a:cxn ang="0">
                <a:pos x="T2" y="T3"/>
              </a:cxn>
              <a:cxn ang="0">
                <a:pos x="T4" y="T5"/>
              </a:cxn>
            </a:cxnLst>
            <a:rect l="0" t="0" r="r" b="b"/>
            <a:pathLst>
              <a:path w="120" h="120">
                <a:moveTo>
                  <a:pt x="0" y="120"/>
                </a:moveTo>
                <a:lnTo>
                  <a:pt x="12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34" name="Freeform 187">
            <a:extLst>
              <a:ext uri="{FF2B5EF4-FFF2-40B4-BE49-F238E27FC236}">
                <a16:creationId xmlns:a16="http://schemas.microsoft.com/office/drawing/2014/main" xmlns="" id="{37AF4012-CE22-4392-9327-284928B213FE}"/>
              </a:ext>
            </a:extLst>
          </xdr:cNvPr>
          <xdr:cNvSpPr>
            <a:spLocks/>
          </xdr:cNvSpPr>
        </xdr:nvSpPr>
        <xdr:spPr bwMode="auto">
          <a:xfrm>
            <a:off x="3526607" y="2692919"/>
            <a:ext cx="73641" cy="73923"/>
          </a:xfrm>
          <a:custGeom>
            <a:avLst/>
            <a:gdLst>
              <a:gd name="T0" fmla="*/ 0 w 116"/>
              <a:gd name="T1" fmla="*/ 116 h 116"/>
              <a:gd name="T2" fmla="*/ 116 w 116"/>
              <a:gd name="T3" fmla="*/ 0 h 116"/>
              <a:gd name="T4" fmla="*/ 116 w 116"/>
              <a:gd name="T5" fmla="*/ 0 h 116"/>
            </a:gdLst>
            <a:ahLst/>
            <a:cxnLst>
              <a:cxn ang="0">
                <a:pos x="T0" y="T1"/>
              </a:cxn>
              <a:cxn ang="0">
                <a:pos x="T2" y="T3"/>
              </a:cxn>
              <a:cxn ang="0">
                <a:pos x="T4" y="T5"/>
              </a:cxn>
            </a:cxnLst>
            <a:rect l="0" t="0" r="r" b="b"/>
            <a:pathLst>
              <a:path w="116" h="116">
                <a:moveTo>
                  <a:pt x="0" y="116"/>
                </a:moveTo>
                <a:lnTo>
                  <a:pt x="11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35" name="Freeform 186">
            <a:extLst>
              <a:ext uri="{FF2B5EF4-FFF2-40B4-BE49-F238E27FC236}">
                <a16:creationId xmlns:a16="http://schemas.microsoft.com/office/drawing/2014/main" xmlns="" id="{CC97B26D-4435-443B-A082-608E9B2184D6}"/>
              </a:ext>
            </a:extLst>
          </xdr:cNvPr>
          <xdr:cNvSpPr>
            <a:spLocks/>
          </xdr:cNvSpPr>
        </xdr:nvSpPr>
        <xdr:spPr bwMode="auto">
          <a:xfrm>
            <a:off x="3538669" y="2692919"/>
            <a:ext cx="78720" cy="78383"/>
          </a:xfrm>
          <a:custGeom>
            <a:avLst/>
            <a:gdLst>
              <a:gd name="T0" fmla="*/ 0 w 124"/>
              <a:gd name="T1" fmla="*/ 123 h 123"/>
              <a:gd name="T2" fmla="*/ 124 w 124"/>
              <a:gd name="T3" fmla="*/ 0 h 123"/>
              <a:gd name="T4" fmla="*/ 124 w 124"/>
              <a:gd name="T5" fmla="*/ 0 h 123"/>
            </a:gdLst>
            <a:ahLst/>
            <a:cxnLst>
              <a:cxn ang="0">
                <a:pos x="T0" y="T1"/>
              </a:cxn>
              <a:cxn ang="0">
                <a:pos x="T2" y="T3"/>
              </a:cxn>
              <a:cxn ang="0">
                <a:pos x="T4" y="T5"/>
              </a:cxn>
            </a:cxnLst>
            <a:rect l="0" t="0" r="r" b="b"/>
            <a:pathLst>
              <a:path w="124" h="123">
                <a:moveTo>
                  <a:pt x="0" y="123"/>
                </a:moveTo>
                <a:lnTo>
                  <a:pt x="12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36" name="Freeform 185">
            <a:extLst>
              <a:ext uri="{FF2B5EF4-FFF2-40B4-BE49-F238E27FC236}">
                <a16:creationId xmlns:a16="http://schemas.microsoft.com/office/drawing/2014/main" xmlns="" id="{A74F9950-474D-4F6D-95A4-2122E5760631}"/>
              </a:ext>
            </a:extLst>
          </xdr:cNvPr>
          <xdr:cNvSpPr>
            <a:spLocks/>
          </xdr:cNvSpPr>
        </xdr:nvSpPr>
        <xdr:spPr bwMode="auto">
          <a:xfrm>
            <a:off x="3257436" y="2873902"/>
            <a:ext cx="179024" cy="179708"/>
          </a:xfrm>
          <a:custGeom>
            <a:avLst/>
            <a:gdLst>
              <a:gd name="T0" fmla="*/ 0 w 282"/>
              <a:gd name="T1" fmla="*/ 282 h 282"/>
              <a:gd name="T2" fmla="*/ 282 w 282"/>
              <a:gd name="T3" fmla="*/ 0 h 282"/>
              <a:gd name="T4" fmla="*/ 282 w 282"/>
              <a:gd name="T5" fmla="*/ 0 h 282"/>
            </a:gdLst>
            <a:ahLst/>
            <a:cxnLst>
              <a:cxn ang="0">
                <a:pos x="T0" y="T1"/>
              </a:cxn>
              <a:cxn ang="0">
                <a:pos x="T2" y="T3"/>
              </a:cxn>
              <a:cxn ang="0">
                <a:pos x="T4" y="T5"/>
              </a:cxn>
            </a:cxnLst>
            <a:rect l="0" t="0" r="r" b="b"/>
            <a:pathLst>
              <a:path w="282" h="282">
                <a:moveTo>
                  <a:pt x="0" y="282"/>
                </a:moveTo>
                <a:lnTo>
                  <a:pt x="282"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37" name="Freeform 184">
            <a:extLst>
              <a:ext uri="{FF2B5EF4-FFF2-40B4-BE49-F238E27FC236}">
                <a16:creationId xmlns:a16="http://schemas.microsoft.com/office/drawing/2014/main" xmlns="" id="{2EF50B22-A324-4391-8B02-B8C58CB0900F}"/>
              </a:ext>
            </a:extLst>
          </xdr:cNvPr>
          <xdr:cNvSpPr>
            <a:spLocks/>
          </xdr:cNvSpPr>
        </xdr:nvSpPr>
        <xdr:spPr bwMode="auto">
          <a:xfrm>
            <a:off x="3274576" y="2891108"/>
            <a:ext cx="161883" cy="162502"/>
          </a:xfrm>
          <a:custGeom>
            <a:avLst/>
            <a:gdLst>
              <a:gd name="T0" fmla="*/ 0 w 255"/>
              <a:gd name="T1" fmla="*/ 255 h 255"/>
              <a:gd name="T2" fmla="*/ 255 w 255"/>
              <a:gd name="T3" fmla="*/ 0 h 255"/>
              <a:gd name="T4" fmla="*/ 255 w 255"/>
              <a:gd name="T5" fmla="*/ 0 h 255"/>
            </a:gdLst>
            <a:ahLst/>
            <a:cxnLst>
              <a:cxn ang="0">
                <a:pos x="T0" y="T1"/>
              </a:cxn>
              <a:cxn ang="0">
                <a:pos x="T2" y="T3"/>
              </a:cxn>
              <a:cxn ang="0">
                <a:pos x="T4" y="T5"/>
              </a:cxn>
            </a:cxnLst>
            <a:rect l="0" t="0" r="r" b="b"/>
            <a:pathLst>
              <a:path w="255" h="255">
                <a:moveTo>
                  <a:pt x="0" y="255"/>
                </a:moveTo>
                <a:lnTo>
                  <a:pt x="25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38" name="Freeform 183">
            <a:extLst>
              <a:ext uri="{FF2B5EF4-FFF2-40B4-BE49-F238E27FC236}">
                <a16:creationId xmlns:a16="http://schemas.microsoft.com/office/drawing/2014/main" xmlns="" id="{E56CD4B7-E997-4D7F-A2E8-F89242225CA1}"/>
              </a:ext>
            </a:extLst>
          </xdr:cNvPr>
          <xdr:cNvSpPr>
            <a:spLocks/>
          </xdr:cNvSpPr>
        </xdr:nvSpPr>
        <xdr:spPr bwMode="auto">
          <a:xfrm>
            <a:off x="3549461" y="2692919"/>
            <a:ext cx="85068" cy="84756"/>
          </a:xfrm>
          <a:custGeom>
            <a:avLst/>
            <a:gdLst>
              <a:gd name="T0" fmla="*/ 0 w 134"/>
              <a:gd name="T1" fmla="*/ 133 h 133"/>
              <a:gd name="T2" fmla="*/ 134 w 134"/>
              <a:gd name="T3" fmla="*/ 0 h 133"/>
              <a:gd name="T4" fmla="*/ 134 w 134"/>
              <a:gd name="T5" fmla="*/ 0 h 133"/>
            </a:gdLst>
            <a:ahLst/>
            <a:cxnLst>
              <a:cxn ang="0">
                <a:pos x="T0" y="T1"/>
              </a:cxn>
              <a:cxn ang="0">
                <a:pos x="T2" y="T3"/>
              </a:cxn>
              <a:cxn ang="0">
                <a:pos x="T4" y="T5"/>
              </a:cxn>
            </a:cxnLst>
            <a:rect l="0" t="0" r="r" b="b"/>
            <a:pathLst>
              <a:path w="134" h="133">
                <a:moveTo>
                  <a:pt x="0" y="133"/>
                </a:moveTo>
                <a:lnTo>
                  <a:pt x="134" y="0"/>
                </a:lnTo>
              </a:path>
            </a:pathLst>
          </a:custGeom>
          <a:solidFill>
            <a:srgbClr val="FFFFFF"/>
          </a:solidFill>
          <a:ln w="6350">
            <a:solidFill>
              <a:srgbClr val="000000"/>
            </a:solidFill>
            <a:round/>
            <a:headEnd/>
            <a:tailEnd/>
          </a:ln>
        </xdr:spPr>
      </xdr:sp>
      <xdr:sp macro="" textlink="">
        <xdr:nvSpPr>
          <xdr:cNvPr id="639" name="Freeform 182">
            <a:extLst>
              <a:ext uri="{FF2B5EF4-FFF2-40B4-BE49-F238E27FC236}">
                <a16:creationId xmlns:a16="http://schemas.microsoft.com/office/drawing/2014/main" xmlns="" id="{071FC0DA-60CF-418F-A59D-78866A143505}"/>
              </a:ext>
            </a:extLst>
          </xdr:cNvPr>
          <xdr:cNvSpPr>
            <a:spLocks/>
          </xdr:cNvSpPr>
        </xdr:nvSpPr>
        <xdr:spPr bwMode="auto">
          <a:xfrm>
            <a:off x="3851009" y="2979688"/>
            <a:ext cx="74276" cy="73923"/>
          </a:xfrm>
          <a:custGeom>
            <a:avLst/>
            <a:gdLst>
              <a:gd name="T0" fmla="*/ 0 w 117"/>
              <a:gd name="T1" fmla="*/ 116 h 116"/>
              <a:gd name="T2" fmla="*/ 117 w 117"/>
              <a:gd name="T3" fmla="*/ 0 h 116"/>
              <a:gd name="T4" fmla="*/ 117 w 117"/>
              <a:gd name="T5" fmla="*/ 0 h 116"/>
            </a:gdLst>
            <a:ahLst/>
            <a:cxnLst>
              <a:cxn ang="0">
                <a:pos x="T0" y="T1"/>
              </a:cxn>
              <a:cxn ang="0">
                <a:pos x="T2" y="T3"/>
              </a:cxn>
              <a:cxn ang="0">
                <a:pos x="T4" y="T5"/>
              </a:cxn>
            </a:cxnLst>
            <a:rect l="0" t="0" r="r" b="b"/>
            <a:pathLst>
              <a:path w="117" h="116">
                <a:moveTo>
                  <a:pt x="0" y="116"/>
                </a:moveTo>
                <a:lnTo>
                  <a:pt x="11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0" name="Freeform 181">
            <a:extLst>
              <a:ext uri="{FF2B5EF4-FFF2-40B4-BE49-F238E27FC236}">
                <a16:creationId xmlns:a16="http://schemas.microsoft.com/office/drawing/2014/main" xmlns="" id="{5D1AA361-9E92-4F98-9F6E-677674C31732}"/>
              </a:ext>
            </a:extLst>
          </xdr:cNvPr>
          <xdr:cNvSpPr>
            <a:spLocks/>
          </xdr:cNvSpPr>
        </xdr:nvSpPr>
        <xdr:spPr bwMode="auto">
          <a:xfrm>
            <a:off x="4012257" y="2692919"/>
            <a:ext cx="199339" cy="199464"/>
          </a:xfrm>
          <a:custGeom>
            <a:avLst/>
            <a:gdLst>
              <a:gd name="T0" fmla="*/ 0 w 314"/>
              <a:gd name="T1" fmla="*/ 313 h 313"/>
              <a:gd name="T2" fmla="*/ 314 w 314"/>
              <a:gd name="T3" fmla="*/ 0 h 313"/>
              <a:gd name="T4" fmla="*/ 314 w 314"/>
              <a:gd name="T5" fmla="*/ 0 h 313"/>
            </a:gdLst>
            <a:ahLst/>
            <a:cxnLst>
              <a:cxn ang="0">
                <a:pos x="T0" y="T1"/>
              </a:cxn>
              <a:cxn ang="0">
                <a:pos x="T2" y="T3"/>
              </a:cxn>
              <a:cxn ang="0">
                <a:pos x="T4" y="T5"/>
              </a:cxn>
            </a:cxnLst>
            <a:rect l="0" t="0" r="r" b="b"/>
            <a:pathLst>
              <a:path w="314" h="313">
                <a:moveTo>
                  <a:pt x="0" y="313"/>
                </a:moveTo>
                <a:lnTo>
                  <a:pt x="31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1" name="Freeform 180">
            <a:extLst>
              <a:ext uri="{FF2B5EF4-FFF2-40B4-BE49-F238E27FC236}">
                <a16:creationId xmlns:a16="http://schemas.microsoft.com/office/drawing/2014/main" xmlns="" id="{772C4FAC-792B-4C9C-8DDB-7735809B0296}"/>
              </a:ext>
            </a:extLst>
          </xdr:cNvPr>
          <xdr:cNvSpPr>
            <a:spLocks/>
          </xdr:cNvSpPr>
        </xdr:nvSpPr>
        <xdr:spPr bwMode="auto">
          <a:xfrm>
            <a:off x="3834503" y="2975864"/>
            <a:ext cx="77450" cy="77746"/>
          </a:xfrm>
          <a:custGeom>
            <a:avLst/>
            <a:gdLst>
              <a:gd name="T0" fmla="*/ 0 w 122"/>
              <a:gd name="T1" fmla="*/ 122 h 122"/>
              <a:gd name="T2" fmla="*/ 122 w 122"/>
              <a:gd name="T3" fmla="*/ 0 h 122"/>
              <a:gd name="T4" fmla="*/ 122 w 122"/>
              <a:gd name="T5" fmla="*/ 0 h 122"/>
            </a:gdLst>
            <a:ahLst/>
            <a:cxnLst>
              <a:cxn ang="0">
                <a:pos x="T0" y="T1"/>
              </a:cxn>
              <a:cxn ang="0">
                <a:pos x="T2" y="T3"/>
              </a:cxn>
              <a:cxn ang="0">
                <a:pos x="T4" y="T5"/>
              </a:cxn>
            </a:cxnLst>
            <a:rect l="0" t="0" r="r" b="b"/>
            <a:pathLst>
              <a:path w="122" h="122">
                <a:moveTo>
                  <a:pt x="0" y="122"/>
                </a:moveTo>
                <a:lnTo>
                  <a:pt x="122"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2" name="Freeform 179">
            <a:extLst>
              <a:ext uri="{FF2B5EF4-FFF2-40B4-BE49-F238E27FC236}">
                <a16:creationId xmlns:a16="http://schemas.microsoft.com/office/drawing/2014/main" xmlns="" id="{9085A5B4-052E-48CB-B4F2-097B9BD14859}"/>
              </a:ext>
            </a:extLst>
          </xdr:cNvPr>
          <xdr:cNvSpPr>
            <a:spLocks/>
          </xdr:cNvSpPr>
        </xdr:nvSpPr>
        <xdr:spPr bwMode="auto">
          <a:xfrm>
            <a:off x="4012257" y="2692919"/>
            <a:ext cx="182198" cy="182257"/>
          </a:xfrm>
          <a:custGeom>
            <a:avLst/>
            <a:gdLst>
              <a:gd name="T0" fmla="*/ 0 w 287"/>
              <a:gd name="T1" fmla="*/ 286 h 286"/>
              <a:gd name="T2" fmla="*/ 287 w 287"/>
              <a:gd name="T3" fmla="*/ 0 h 286"/>
              <a:gd name="T4" fmla="*/ 287 w 287"/>
              <a:gd name="T5" fmla="*/ 0 h 286"/>
            </a:gdLst>
            <a:ahLst/>
            <a:cxnLst>
              <a:cxn ang="0">
                <a:pos x="T0" y="T1"/>
              </a:cxn>
              <a:cxn ang="0">
                <a:pos x="T2" y="T3"/>
              </a:cxn>
              <a:cxn ang="0">
                <a:pos x="T4" y="T5"/>
              </a:cxn>
            </a:cxnLst>
            <a:rect l="0" t="0" r="r" b="b"/>
            <a:pathLst>
              <a:path w="287" h="286">
                <a:moveTo>
                  <a:pt x="0" y="286"/>
                </a:moveTo>
                <a:lnTo>
                  <a:pt x="28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3" name="Freeform 178">
            <a:extLst>
              <a:ext uri="{FF2B5EF4-FFF2-40B4-BE49-F238E27FC236}">
                <a16:creationId xmlns:a16="http://schemas.microsoft.com/office/drawing/2014/main" xmlns="" id="{ABC71349-3CD3-4F41-83CB-77D7C63DAAE3}"/>
              </a:ext>
            </a:extLst>
          </xdr:cNvPr>
          <xdr:cNvSpPr>
            <a:spLocks/>
          </xdr:cNvSpPr>
        </xdr:nvSpPr>
        <xdr:spPr bwMode="auto">
          <a:xfrm>
            <a:off x="3817362" y="2970129"/>
            <a:ext cx="83798" cy="83482"/>
          </a:xfrm>
          <a:custGeom>
            <a:avLst/>
            <a:gdLst>
              <a:gd name="T0" fmla="*/ 0 w 132"/>
              <a:gd name="T1" fmla="*/ 131 h 131"/>
              <a:gd name="T2" fmla="*/ 132 w 132"/>
              <a:gd name="T3" fmla="*/ 0 h 131"/>
              <a:gd name="T4" fmla="*/ 132 w 132"/>
              <a:gd name="T5" fmla="*/ 0 h 131"/>
            </a:gdLst>
            <a:ahLst/>
            <a:cxnLst>
              <a:cxn ang="0">
                <a:pos x="T0" y="T1"/>
              </a:cxn>
              <a:cxn ang="0">
                <a:pos x="T2" y="T3"/>
              </a:cxn>
              <a:cxn ang="0">
                <a:pos x="T4" y="T5"/>
              </a:cxn>
            </a:cxnLst>
            <a:rect l="0" t="0" r="r" b="b"/>
            <a:pathLst>
              <a:path w="132" h="131">
                <a:moveTo>
                  <a:pt x="0" y="131"/>
                </a:moveTo>
                <a:lnTo>
                  <a:pt x="132"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4" name="Freeform 177">
            <a:extLst>
              <a:ext uri="{FF2B5EF4-FFF2-40B4-BE49-F238E27FC236}">
                <a16:creationId xmlns:a16="http://schemas.microsoft.com/office/drawing/2014/main" xmlns="" id="{2CEE8A59-B300-4948-8797-2288E87B5FD1}"/>
              </a:ext>
            </a:extLst>
          </xdr:cNvPr>
          <xdr:cNvSpPr>
            <a:spLocks/>
          </xdr:cNvSpPr>
        </xdr:nvSpPr>
        <xdr:spPr bwMode="auto">
          <a:xfrm>
            <a:off x="4012257" y="2692919"/>
            <a:ext cx="165058" cy="165051"/>
          </a:xfrm>
          <a:custGeom>
            <a:avLst/>
            <a:gdLst>
              <a:gd name="T0" fmla="*/ 0 w 260"/>
              <a:gd name="T1" fmla="*/ 259 h 259"/>
              <a:gd name="T2" fmla="*/ 260 w 260"/>
              <a:gd name="T3" fmla="*/ 0 h 259"/>
              <a:gd name="T4" fmla="*/ 260 w 260"/>
              <a:gd name="T5" fmla="*/ 0 h 259"/>
            </a:gdLst>
            <a:ahLst/>
            <a:cxnLst>
              <a:cxn ang="0">
                <a:pos x="T0" y="T1"/>
              </a:cxn>
              <a:cxn ang="0">
                <a:pos x="T2" y="T3"/>
              </a:cxn>
              <a:cxn ang="0">
                <a:pos x="T4" y="T5"/>
              </a:cxn>
            </a:cxnLst>
            <a:rect l="0" t="0" r="r" b="b"/>
            <a:pathLst>
              <a:path w="260" h="259">
                <a:moveTo>
                  <a:pt x="0" y="259"/>
                </a:moveTo>
                <a:lnTo>
                  <a:pt x="26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5" name="Line 39">
            <a:extLst>
              <a:ext uri="{FF2B5EF4-FFF2-40B4-BE49-F238E27FC236}">
                <a16:creationId xmlns:a16="http://schemas.microsoft.com/office/drawing/2014/main" xmlns="" id="{C7F842CB-2F33-454A-B615-0F98EEE070A2}"/>
              </a:ext>
            </a:extLst>
          </xdr:cNvPr>
          <xdr:cNvSpPr>
            <a:spLocks noChangeShapeType="1"/>
          </xdr:cNvSpPr>
        </xdr:nvSpPr>
        <xdr:spPr bwMode="auto">
          <a:xfrm>
            <a:off x="3747504" y="2450334"/>
            <a:ext cx="2542" cy="245961"/>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646" name="Text Box 38">
            <a:extLst>
              <a:ext uri="{FF2B5EF4-FFF2-40B4-BE49-F238E27FC236}">
                <a16:creationId xmlns:a16="http://schemas.microsoft.com/office/drawing/2014/main" xmlns="" id="{3A35036B-E5AD-4F0C-B5A8-1AE0E1238556}"/>
              </a:ext>
            </a:extLst>
          </xdr:cNvPr>
          <xdr:cNvSpPr txBox="1">
            <a:spLocks noChangeArrowheads="1"/>
          </xdr:cNvSpPr>
        </xdr:nvSpPr>
        <xdr:spPr bwMode="auto">
          <a:xfrm>
            <a:off x="3782461" y="2499197"/>
            <a:ext cx="177961" cy="150774"/>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hh</a:t>
            </a:r>
          </a:p>
        </xdr:txBody>
      </xdr:sp>
      <xdr:sp macro="" textlink="">
        <xdr:nvSpPr>
          <xdr:cNvPr id="647" name="Line 37">
            <a:extLst>
              <a:ext uri="{FF2B5EF4-FFF2-40B4-BE49-F238E27FC236}">
                <a16:creationId xmlns:a16="http://schemas.microsoft.com/office/drawing/2014/main" xmlns="" id="{299B215A-F060-4A74-8E01-9ABB15A533AA}"/>
              </a:ext>
            </a:extLst>
          </xdr:cNvPr>
          <xdr:cNvSpPr>
            <a:spLocks noChangeShapeType="1"/>
          </xdr:cNvSpPr>
        </xdr:nvSpPr>
        <xdr:spPr bwMode="auto">
          <a:xfrm>
            <a:off x="3750047" y="2692488"/>
            <a:ext cx="2542" cy="370340"/>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648" name="Text Box 36">
            <a:extLst>
              <a:ext uri="{FF2B5EF4-FFF2-40B4-BE49-F238E27FC236}">
                <a16:creationId xmlns:a16="http://schemas.microsoft.com/office/drawing/2014/main" xmlns="" id="{37618748-3FF8-4DBD-A564-F9DB666DE105}"/>
              </a:ext>
            </a:extLst>
          </xdr:cNvPr>
          <xdr:cNvSpPr txBox="1">
            <a:spLocks noChangeArrowheads="1"/>
          </xdr:cNvSpPr>
        </xdr:nvSpPr>
        <xdr:spPr bwMode="auto">
          <a:xfrm>
            <a:off x="3764665" y="2787040"/>
            <a:ext cx="101692" cy="150775"/>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h</a:t>
            </a:r>
          </a:p>
        </xdr:txBody>
      </xdr:sp>
      <xdr:sp macro="" textlink="">
        <xdr:nvSpPr>
          <xdr:cNvPr id="649" name="Line 35">
            <a:extLst>
              <a:ext uri="{FF2B5EF4-FFF2-40B4-BE49-F238E27FC236}">
                <a16:creationId xmlns:a16="http://schemas.microsoft.com/office/drawing/2014/main" xmlns="" id="{929FBDF8-40C4-4A89-8573-0227A7DBFE53}"/>
              </a:ext>
            </a:extLst>
          </xdr:cNvPr>
          <xdr:cNvSpPr>
            <a:spLocks noChangeShapeType="1"/>
          </xdr:cNvSpPr>
        </xdr:nvSpPr>
        <xdr:spPr bwMode="auto">
          <a:xfrm>
            <a:off x="3074603" y="2768637"/>
            <a:ext cx="0" cy="210426"/>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650" name="Text Box 34">
            <a:extLst>
              <a:ext uri="{FF2B5EF4-FFF2-40B4-BE49-F238E27FC236}">
                <a16:creationId xmlns:a16="http://schemas.microsoft.com/office/drawing/2014/main" xmlns="" id="{B3184AD0-22E9-4B66-986D-E0764BB31CD7}"/>
              </a:ext>
            </a:extLst>
          </xdr:cNvPr>
          <xdr:cNvSpPr txBox="1">
            <a:spLocks noChangeArrowheads="1"/>
          </xdr:cNvSpPr>
        </xdr:nvSpPr>
        <xdr:spPr bwMode="auto">
          <a:xfrm>
            <a:off x="3066341" y="2616594"/>
            <a:ext cx="198300" cy="150774"/>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hB</a:t>
            </a:r>
          </a:p>
        </xdr:txBody>
      </xdr:sp>
      <xdr:sp macro="" textlink="">
        <xdr:nvSpPr>
          <xdr:cNvPr id="651" name="Line 33">
            <a:extLst>
              <a:ext uri="{FF2B5EF4-FFF2-40B4-BE49-F238E27FC236}">
                <a16:creationId xmlns:a16="http://schemas.microsoft.com/office/drawing/2014/main" xmlns="" id="{83FB7F45-8E57-4506-9493-B29E1331DC02}"/>
              </a:ext>
            </a:extLst>
          </xdr:cNvPr>
          <xdr:cNvSpPr>
            <a:spLocks noChangeShapeType="1"/>
          </xdr:cNvSpPr>
        </xdr:nvSpPr>
        <xdr:spPr bwMode="auto">
          <a:xfrm flipH="1" flipV="1">
            <a:off x="1927103" y="2869915"/>
            <a:ext cx="144100" cy="0"/>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652" name="Line 32">
            <a:extLst>
              <a:ext uri="{FF2B5EF4-FFF2-40B4-BE49-F238E27FC236}">
                <a16:creationId xmlns:a16="http://schemas.microsoft.com/office/drawing/2014/main" xmlns="" id="{0398B2B4-02A7-4756-9133-817D4BA326CE}"/>
              </a:ext>
            </a:extLst>
          </xdr:cNvPr>
          <xdr:cNvSpPr>
            <a:spLocks noChangeShapeType="1"/>
          </xdr:cNvSpPr>
        </xdr:nvSpPr>
        <xdr:spPr bwMode="auto">
          <a:xfrm flipH="1" flipV="1">
            <a:off x="2500853" y="2742619"/>
            <a:ext cx="68642" cy="0"/>
          </a:xfrm>
          <a:prstGeom prst="line">
            <a:avLst/>
          </a:prstGeom>
          <a:noFill/>
          <a:ln w="6350">
            <a:solidFill>
              <a:srgbClr val="FF0000"/>
            </a:solidFill>
            <a:round/>
            <a:headEnd type="none" w="sm" len="sm"/>
            <a:tailEnd type="none" w="sm" len="sm"/>
          </a:ln>
          <a:extLst>
            <a:ext uri="{909E8E84-426E-40DD-AFC4-6F175D3DCCD1}">
              <a14:hiddenFill xmlns:a14="http://schemas.microsoft.com/office/drawing/2010/main">
                <a:noFill/>
              </a14:hiddenFill>
            </a:ext>
          </a:extLst>
        </xdr:spPr>
      </xdr:sp>
      <xdr:sp macro="" textlink="">
        <xdr:nvSpPr>
          <xdr:cNvPr id="653" name="Text Box 31">
            <a:extLst>
              <a:ext uri="{FF2B5EF4-FFF2-40B4-BE49-F238E27FC236}">
                <a16:creationId xmlns:a16="http://schemas.microsoft.com/office/drawing/2014/main" xmlns="" id="{5D5B7265-98E2-45D0-9111-98139FE483B1}"/>
              </a:ext>
            </a:extLst>
          </xdr:cNvPr>
          <xdr:cNvSpPr txBox="1">
            <a:spLocks noChangeArrowheads="1"/>
          </xdr:cNvSpPr>
        </xdr:nvSpPr>
        <xdr:spPr bwMode="auto">
          <a:xfrm>
            <a:off x="1948077" y="2937815"/>
            <a:ext cx="113593" cy="149761"/>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B</a:t>
            </a:r>
          </a:p>
        </xdr:txBody>
      </xdr:sp>
      <xdr:sp macro="" textlink="">
        <xdr:nvSpPr>
          <xdr:cNvPr id="654" name="Text Box 30">
            <a:extLst>
              <a:ext uri="{FF2B5EF4-FFF2-40B4-BE49-F238E27FC236}">
                <a16:creationId xmlns:a16="http://schemas.microsoft.com/office/drawing/2014/main" xmlns="" id="{8E975954-1B79-468B-A909-03A14496A25C}"/>
              </a:ext>
            </a:extLst>
          </xdr:cNvPr>
          <xdr:cNvSpPr txBox="1">
            <a:spLocks noChangeArrowheads="1"/>
          </xdr:cNvSpPr>
        </xdr:nvSpPr>
        <xdr:spPr bwMode="auto">
          <a:xfrm>
            <a:off x="2434117" y="2527118"/>
            <a:ext cx="208469" cy="150774"/>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BB</a:t>
            </a:r>
          </a:p>
        </xdr:txBody>
      </xdr:sp>
      <xdr:sp macro="" textlink="">
        <xdr:nvSpPr>
          <xdr:cNvPr id="655" name="Line 29">
            <a:extLst>
              <a:ext uri="{FF2B5EF4-FFF2-40B4-BE49-F238E27FC236}">
                <a16:creationId xmlns:a16="http://schemas.microsoft.com/office/drawing/2014/main" xmlns="" id="{ECB64B31-8A91-44B5-A69F-8A865FAF62DB}"/>
              </a:ext>
            </a:extLst>
          </xdr:cNvPr>
          <xdr:cNvSpPr>
            <a:spLocks noChangeShapeType="1"/>
          </xdr:cNvSpPr>
        </xdr:nvSpPr>
        <xdr:spPr bwMode="auto">
          <a:xfrm rot="5400000" flipV="1">
            <a:off x="2478004" y="2742617"/>
            <a:ext cx="40613" cy="2542"/>
          </a:xfrm>
          <a:prstGeom prst="line">
            <a:avLst/>
          </a:prstGeom>
          <a:noFill/>
          <a:ln w="6350">
            <a:solidFill>
              <a:srgbClr val="FF0000"/>
            </a:solidFill>
            <a:round/>
            <a:headEnd type="none" w="sm" len="sm"/>
            <a:tailEnd type="none" w="sm" len="sm"/>
          </a:ln>
          <a:extLst>
            <a:ext uri="{909E8E84-426E-40DD-AFC4-6F175D3DCCD1}">
              <a14:hiddenFill xmlns:a14="http://schemas.microsoft.com/office/drawing/2010/main">
                <a:noFill/>
              </a14:hiddenFill>
            </a:ext>
          </a:extLst>
        </xdr:spPr>
      </xdr:sp>
      <xdr:sp macro="" textlink="">
        <xdr:nvSpPr>
          <xdr:cNvPr id="656" name="Line 28">
            <a:extLst>
              <a:ext uri="{FF2B5EF4-FFF2-40B4-BE49-F238E27FC236}">
                <a16:creationId xmlns:a16="http://schemas.microsoft.com/office/drawing/2014/main" xmlns="" id="{16138F56-7E5D-467D-A4B2-C6F99FA58ABD}"/>
              </a:ext>
            </a:extLst>
          </xdr:cNvPr>
          <xdr:cNvSpPr>
            <a:spLocks noChangeShapeType="1"/>
          </xdr:cNvSpPr>
        </xdr:nvSpPr>
        <xdr:spPr bwMode="auto">
          <a:xfrm rot="5400000" flipV="1">
            <a:off x="2549189" y="2740079"/>
            <a:ext cx="40613" cy="2542"/>
          </a:xfrm>
          <a:prstGeom prst="line">
            <a:avLst/>
          </a:prstGeom>
          <a:noFill/>
          <a:ln w="6350">
            <a:solidFill>
              <a:srgbClr val="FF0000"/>
            </a:solidFill>
            <a:round/>
            <a:headEnd type="none" w="sm" len="sm"/>
            <a:tailEnd type="none" w="sm" len="sm"/>
          </a:ln>
          <a:extLst>
            <a:ext uri="{909E8E84-426E-40DD-AFC4-6F175D3DCCD1}">
              <a14:hiddenFill xmlns:a14="http://schemas.microsoft.com/office/drawing/2010/main">
                <a:noFill/>
              </a14:hiddenFill>
            </a:ext>
          </a:extLst>
        </xdr:spPr>
      </xdr:sp>
    </xdr:grpSp>
    <xdr:clientData/>
  </xdr:twoCellAnchor>
  <xdr:twoCellAnchor>
    <xdr:from>
      <xdr:col>0</xdr:col>
      <xdr:colOff>307342</xdr:colOff>
      <xdr:row>12</xdr:row>
      <xdr:rowOff>88939</xdr:rowOff>
    </xdr:from>
    <xdr:to>
      <xdr:col>4</xdr:col>
      <xdr:colOff>347967</xdr:colOff>
      <xdr:row>13</xdr:row>
      <xdr:rowOff>43726</xdr:rowOff>
    </xdr:to>
    <xdr:sp macro="" textlink="">
      <xdr:nvSpPr>
        <xdr:cNvPr id="657" name="Text Box 27">
          <a:extLst>
            <a:ext uri="{FF2B5EF4-FFF2-40B4-BE49-F238E27FC236}">
              <a16:creationId xmlns:a16="http://schemas.microsoft.com/office/drawing/2014/main" xmlns="" id="{859D0170-EE52-4333-951E-6827A79F8FFF}"/>
            </a:ext>
          </a:extLst>
        </xdr:cNvPr>
        <xdr:cNvSpPr txBox="1">
          <a:spLocks noChangeArrowheads="1"/>
        </xdr:cNvSpPr>
      </xdr:nvSpPr>
      <xdr:spPr bwMode="auto">
        <a:xfrm>
          <a:off x="1678942" y="3184564"/>
          <a:ext cx="2783825" cy="192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50" b="0" i="0" u="none" strike="noStrike" baseline="0">
              <a:solidFill>
                <a:srgbClr val="000000"/>
              </a:solidFill>
              <a:latin typeface="ＭＳ Ｐゴシック"/>
              <a:ea typeface="ＭＳ Ｐゴシック"/>
            </a:rPr>
            <a:t>４.ハーフPCa合成スラブ</a:t>
          </a:r>
        </a:p>
      </xdr:txBody>
    </xdr:sp>
    <xdr:clientData/>
  </xdr:twoCellAnchor>
  <xdr:twoCellAnchor>
    <xdr:from>
      <xdr:col>0</xdr:col>
      <xdr:colOff>311791</xdr:colOff>
      <xdr:row>13</xdr:row>
      <xdr:rowOff>66366</xdr:rowOff>
    </xdr:from>
    <xdr:to>
      <xdr:col>4</xdr:col>
      <xdr:colOff>361950</xdr:colOff>
      <xdr:row>15</xdr:row>
      <xdr:rowOff>122099</xdr:rowOff>
    </xdr:to>
    <xdr:grpSp>
      <xdr:nvGrpSpPr>
        <xdr:cNvPr id="658" name="グループ化 657">
          <a:extLst>
            <a:ext uri="{FF2B5EF4-FFF2-40B4-BE49-F238E27FC236}">
              <a16:creationId xmlns:a16="http://schemas.microsoft.com/office/drawing/2014/main" xmlns="" id="{6AFB0334-263A-464E-A784-AFFC910451EF}"/>
            </a:ext>
          </a:extLst>
        </xdr:cNvPr>
        <xdr:cNvGrpSpPr/>
      </xdr:nvGrpSpPr>
      <xdr:grpSpPr>
        <a:xfrm>
          <a:off x="311791" y="3285816"/>
          <a:ext cx="2717159" cy="551033"/>
          <a:chOff x="1681770" y="3414302"/>
          <a:chExt cx="2790116" cy="534010"/>
        </a:xfrm>
      </xdr:grpSpPr>
      <xdr:sp macro="" textlink="">
        <xdr:nvSpPr>
          <xdr:cNvPr id="659" name="Rectangle 391">
            <a:extLst>
              <a:ext uri="{FF2B5EF4-FFF2-40B4-BE49-F238E27FC236}">
                <a16:creationId xmlns:a16="http://schemas.microsoft.com/office/drawing/2014/main" xmlns="" id="{14FE9B29-7E2B-4E82-B136-D03484392E10}"/>
              </a:ext>
            </a:extLst>
          </xdr:cNvPr>
          <xdr:cNvSpPr>
            <a:spLocks noChangeArrowheads="1"/>
          </xdr:cNvSpPr>
        </xdr:nvSpPr>
        <xdr:spPr bwMode="auto">
          <a:xfrm>
            <a:off x="1681770" y="3416411"/>
            <a:ext cx="2786938" cy="378588"/>
          </a:xfrm>
          <a:prstGeom prst="rect">
            <a:avLst/>
          </a:prstGeom>
          <a:solidFill>
            <a:srgbClr val="96969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0" name="Rectangle 390">
            <a:extLst>
              <a:ext uri="{FF2B5EF4-FFF2-40B4-BE49-F238E27FC236}">
                <a16:creationId xmlns:a16="http://schemas.microsoft.com/office/drawing/2014/main" xmlns="" id="{883B9FF9-2F0E-4F31-8AA2-7A972BA63553}"/>
              </a:ext>
            </a:extLst>
          </xdr:cNvPr>
          <xdr:cNvSpPr>
            <a:spLocks noChangeArrowheads="1"/>
          </xdr:cNvSpPr>
        </xdr:nvSpPr>
        <xdr:spPr bwMode="auto">
          <a:xfrm>
            <a:off x="1684948" y="3775327"/>
            <a:ext cx="2786938" cy="172985"/>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1" name="Freeform 176">
            <a:extLst>
              <a:ext uri="{FF2B5EF4-FFF2-40B4-BE49-F238E27FC236}">
                <a16:creationId xmlns:a16="http://schemas.microsoft.com/office/drawing/2014/main" xmlns="" id="{6BC9A8A7-EE07-4579-8A5B-82A4003EE178}"/>
              </a:ext>
            </a:extLst>
          </xdr:cNvPr>
          <xdr:cNvSpPr>
            <a:spLocks/>
          </xdr:cNvSpPr>
        </xdr:nvSpPr>
        <xdr:spPr bwMode="auto">
          <a:xfrm>
            <a:off x="1684310" y="3774993"/>
            <a:ext cx="2784395" cy="637"/>
          </a:xfrm>
          <a:custGeom>
            <a:avLst/>
            <a:gdLst>
              <a:gd name="T0" fmla="*/ 4386 w 4386"/>
              <a:gd name="T1" fmla="*/ 0 w 4386"/>
              <a:gd name="T2" fmla="*/ 0 w 4386"/>
            </a:gdLst>
            <a:ahLst/>
            <a:cxnLst>
              <a:cxn ang="0">
                <a:pos x="T0" y="0"/>
              </a:cxn>
              <a:cxn ang="0">
                <a:pos x="T1" y="0"/>
              </a:cxn>
              <a:cxn ang="0">
                <a:pos x="T2" y="0"/>
              </a:cxn>
            </a:cxnLst>
            <a:rect l="0" t="0" r="r" b="b"/>
            <a:pathLst>
              <a:path w="4386">
                <a:moveTo>
                  <a:pt x="4386" y="0"/>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2" name="Freeform 175">
            <a:extLst>
              <a:ext uri="{FF2B5EF4-FFF2-40B4-BE49-F238E27FC236}">
                <a16:creationId xmlns:a16="http://schemas.microsoft.com/office/drawing/2014/main" xmlns="" id="{43BCEAE6-91F7-489E-B024-F584E108C736}"/>
              </a:ext>
            </a:extLst>
          </xdr:cNvPr>
          <xdr:cNvSpPr>
            <a:spLocks/>
          </xdr:cNvSpPr>
        </xdr:nvSpPr>
        <xdr:spPr bwMode="auto">
          <a:xfrm>
            <a:off x="1684310" y="3414302"/>
            <a:ext cx="2784395" cy="637"/>
          </a:xfrm>
          <a:custGeom>
            <a:avLst/>
            <a:gdLst>
              <a:gd name="T0" fmla="*/ 0 w 4386"/>
              <a:gd name="T1" fmla="*/ 4386 w 4386"/>
              <a:gd name="T2" fmla="*/ 4386 w 4386"/>
            </a:gdLst>
            <a:ahLst/>
            <a:cxnLst>
              <a:cxn ang="0">
                <a:pos x="T0" y="0"/>
              </a:cxn>
              <a:cxn ang="0">
                <a:pos x="T1" y="0"/>
              </a:cxn>
              <a:cxn ang="0">
                <a:pos x="T2" y="0"/>
              </a:cxn>
            </a:cxnLst>
            <a:rect l="0" t="0" r="r" b="b"/>
            <a:pathLst>
              <a:path w="4386">
                <a:moveTo>
                  <a:pt x="0" y="0"/>
                </a:moveTo>
                <a:lnTo>
                  <a:pt x="438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3" name="Freeform 174">
            <a:extLst>
              <a:ext uri="{FF2B5EF4-FFF2-40B4-BE49-F238E27FC236}">
                <a16:creationId xmlns:a16="http://schemas.microsoft.com/office/drawing/2014/main" xmlns="" id="{53748689-A771-429C-BF6D-BEE49DB701ED}"/>
              </a:ext>
            </a:extLst>
          </xdr:cNvPr>
          <xdr:cNvSpPr>
            <a:spLocks/>
          </xdr:cNvSpPr>
        </xdr:nvSpPr>
        <xdr:spPr bwMode="auto">
          <a:xfrm>
            <a:off x="1684310" y="3943868"/>
            <a:ext cx="2784395" cy="637"/>
          </a:xfrm>
          <a:custGeom>
            <a:avLst/>
            <a:gdLst>
              <a:gd name="T0" fmla="*/ 4386 w 4386"/>
              <a:gd name="T1" fmla="*/ 0 w 4386"/>
              <a:gd name="T2" fmla="*/ 0 w 4386"/>
            </a:gdLst>
            <a:ahLst/>
            <a:cxnLst>
              <a:cxn ang="0">
                <a:pos x="T0" y="0"/>
              </a:cxn>
              <a:cxn ang="0">
                <a:pos x="T1" y="0"/>
              </a:cxn>
              <a:cxn ang="0">
                <a:pos x="T2" y="0"/>
              </a:cxn>
            </a:cxnLst>
            <a:rect l="0" t="0" r="r" b="b"/>
            <a:pathLst>
              <a:path w="4386">
                <a:moveTo>
                  <a:pt x="4386" y="0"/>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4" name="Freeform 173">
            <a:extLst>
              <a:ext uri="{FF2B5EF4-FFF2-40B4-BE49-F238E27FC236}">
                <a16:creationId xmlns:a16="http://schemas.microsoft.com/office/drawing/2014/main" xmlns="" id="{1090D130-ABB4-4FAF-A3A5-D8A3DFBD7EC4}"/>
              </a:ext>
            </a:extLst>
          </xdr:cNvPr>
          <xdr:cNvSpPr>
            <a:spLocks/>
          </xdr:cNvSpPr>
        </xdr:nvSpPr>
        <xdr:spPr bwMode="auto">
          <a:xfrm>
            <a:off x="3926554" y="3774993"/>
            <a:ext cx="167597" cy="168875"/>
          </a:xfrm>
          <a:custGeom>
            <a:avLst/>
            <a:gdLst>
              <a:gd name="T0" fmla="*/ 0 w 264"/>
              <a:gd name="T1" fmla="*/ 265 h 265"/>
              <a:gd name="T2" fmla="*/ 264 w 264"/>
              <a:gd name="T3" fmla="*/ 0 h 265"/>
              <a:gd name="T4" fmla="*/ 264 w 264"/>
              <a:gd name="T5" fmla="*/ 0 h 265"/>
            </a:gdLst>
            <a:ahLst/>
            <a:cxnLst>
              <a:cxn ang="0">
                <a:pos x="T0" y="T1"/>
              </a:cxn>
              <a:cxn ang="0">
                <a:pos x="T2" y="T3"/>
              </a:cxn>
              <a:cxn ang="0">
                <a:pos x="T4" y="T5"/>
              </a:cxn>
            </a:cxnLst>
            <a:rect l="0" t="0" r="r" b="b"/>
            <a:pathLst>
              <a:path w="264" h="265">
                <a:moveTo>
                  <a:pt x="0" y="265"/>
                </a:moveTo>
                <a:lnTo>
                  <a:pt x="26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5" name="Freeform 172">
            <a:extLst>
              <a:ext uri="{FF2B5EF4-FFF2-40B4-BE49-F238E27FC236}">
                <a16:creationId xmlns:a16="http://schemas.microsoft.com/office/drawing/2014/main" xmlns="" id="{397975CC-5B32-4217-B522-70323329057A}"/>
              </a:ext>
            </a:extLst>
          </xdr:cNvPr>
          <xdr:cNvSpPr>
            <a:spLocks/>
          </xdr:cNvSpPr>
        </xdr:nvSpPr>
        <xdr:spPr bwMode="auto">
          <a:xfrm>
            <a:off x="3909414" y="3774993"/>
            <a:ext cx="168232" cy="168875"/>
          </a:xfrm>
          <a:custGeom>
            <a:avLst/>
            <a:gdLst>
              <a:gd name="T0" fmla="*/ 0 w 265"/>
              <a:gd name="T1" fmla="*/ 265 h 265"/>
              <a:gd name="T2" fmla="*/ 265 w 265"/>
              <a:gd name="T3" fmla="*/ 0 h 265"/>
              <a:gd name="T4" fmla="*/ 265 w 265"/>
              <a:gd name="T5" fmla="*/ 0 h 265"/>
            </a:gdLst>
            <a:ahLst/>
            <a:cxnLst>
              <a:cxn ang="0">
                <a:pos x="T0" y="T1"/>
              </a:cxn>
              <a:cxn ang="0">
                <a:pos x="T2" y="T3"/>
              </a:cxn>
              <a:cxn ang="0">
                <a:pos x="T4" y="T5"/>
              </a:cxn>
            </a:cxnLst>
            <a:rect l="0" t="0" r="r" b="b"/>
            <a:pathLst>
              <a:path w="265" h="265">
                <a:moveTo>
                  <a:pt x="0" y="265"/>
                </a:moveTo>
                <a:lnTo>
                  <a:pt x="26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6" name="Freeform 171">
            <a:extLst>
              <a:ext uri="{FF2B5EF4-FFF2-40B4-BE49-F238E27FC236}">
                <a16:creationId xmlns:a16="http://schemas.microsoft.com/office/drawing/2014/main" xmlns="" id="{2E099F80-94FB-43E8-A753-5DED565BC181}"/>
              </a:ext>
            </a:extLst>
          </xdr:cNvPr>
          <xdr:cNvSpPr>
            <a:spLocks/>
          </xdr:cNvSpPr>
        </xdr:nvSpPr>
        <xdr:spPr bwMode="auto">
          <a:xfrm>
            <a:off x="3400274" y="3774993"/>
            <a:ext cx="168232" cy="168875"/>
          </a:xfrm>
          <a:custGeom>
            <a:avLst/>
            <a:gdLst>
              <a:gd name="T0" fmla="*/ 0 w 265"/>
              <a:gd name="T1" fmla="*/ 265 h 265"/>
              <a:gd name="T2" fmla="*/ 265 w 265"/>
              <a:gd name="T3" fmla="*/ 0 h 265"/>
              <a:gd name="T4" fmla="*/ 265 w 265"/>
              <a:gd name="T5" fmla="*/ 0 h 265"/>
            </a:gdLst>
            <a:ahLst/>
            <a:cxnLst>
              <a:cxn ang="0">
                <a:pos x="T0" y="T1"/>
              </a:cxn>
              <a:cxn ang="0">
                <a:pos x="T2" y="T3"/>
              </a:cxn>
              <a:cxn ang="0">
                <a:pos x="T4" y="T5"/>
              </a:cxn>
            </a:cxnLst>
            <a:rect l="0" t="0" r="r" b="b"/>
            <a:pathLst>
              <a:path w="265" h="265">
                <a:moveTo>
                  <a:pt x="0" y="265"/>
                </a:moveTo>
                <a:lnTo>
                  <a:pt x="26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7" name="Freeform 170">
            <a:extLst>
              <a:ext uri="{FF2B5EF4-FFF2-40B4-BE49-F238E27FC236}">
                <a16:creationId xmlns:a16="http://schemas.microsoft.com/office/drawing/2014/main" xmlns="" id="{8B3D487D-958F-4E6C-B9FF-F56D5EEDACAD}"/>
              </a:ext>
            </a:extLst>
          </xdr:cNvPr>
          <xdr:cNvSpPr>
            <a:spLocks/>
          </xdr:cNvSpPr>
        </xdr:nvSpPr>
        <xdr:spPr bwMode="auto">
          <a:xfrm>
            <a:off x="3383134" y="3774993"/>
            <a:ext cx="168232" cy="168875"/>
          </a:xfrm>
          <a:custGeom>
            <a:avLst/>
            <a:gdLst>
              <a:gd name="T0" fmla="*/ 0 w 265"/>
              <a:gd name="T1" fmla="*/ 265 h 265"/>
              <a:gd name="T2" fmla="*/ 265 w 265"/>
              <a:gd name="T3" fmla="*/ 0 h 265"/>
              <a:gd name="T4" fmla="*/ 265 w 265"/>
              <a:gd name="T5" fmla="*/ 0 h 265"/>
            </a:gdLst>
            <a:ahLst/>
            <a:cxnLst>
              <a:cxn ang="0">
                <a:pos x="T0" y="T1"/>
              </a:cxn>
              <a:cxn ang="0">
                <a:pos x="T2" y="T3"/>
              </a:cxn>
              <a:cxn ang="0">
                <a:pos x="T4" y="T5"/>
              </a:cxn>
            </a:cxnLst>
            <a:rect l="0" t="0" r="r" b="b"/>
            <a:pathLst>
              <a:path w="265" h="265">
                <a:moveTo>
                  <a:pt x="0" y="265"/>
                </a:moveTo>
                <a:lnTo>
                  <a:pt x="26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8" name="Freeform 169">
            <a:extLst>
              <a:ext uri="{FF2B5EF4-FFF2-40B4-BE49-F238E27FC236}">
                <a16:creationId xmlns:a16="http://schemas.microsoft.com/office/drawing/2014/main" xmlns="" id="{E17401F9-1F0E-46CC-8543-7FF505A60060}"/>
              </a:ext>
            </a:extLst>
          </xdr:cNvPr>
          <xdr:cNvSpPr>
            <a:spLocks/>
          </xdr:cNvSpPr>
        </xdr:nvSpPr>
        <xdr:spPr bwMode="auto">
          <a:xfrm>
            <a:off x="2348349" y="3774993"/>
            <a:ext cx="167597" cy="168875"/>
          </a:xfrm>
          <a:custGeom>
            <a:avLst/>
            <a:gdLst>
              <a:gd name="T0" fmla="*/ 0 w 264"/>
              <a:gd name="T1" fmla="*/ 265 h 265"/>
              <a:gd name="T2" fmla="*/ 264 w 264"/>
              <a:gd name="T3" fmla="*/ 0 h 265"/>
              <a:gd name="T4" fmla="*/ 264 w 264"/>
              <a:gd name="T5" fmla="*/ 0 h 265"/>
            </a:gdLst>
            <a:ahLst/>
            <a:cxnLst>
              <a:cxn ang="0">
                <a:pos x="T0" y="T1"/>
              </a:cxn>
              <a:cxn ang="0">
                <a:pos x="T2" y="T3"/>
              </a:cxn>
              <a:cxn ang="0">
                <a:pos x="T4" y="T5"/>
              </a:cxn>
            </a:cxnLst>
            <a:rect l="0" t="0" r="r" b="b"/>
            <a:pathLst>
              <a:path w="264" h="265">
                <a:moveTo>
                  <a:pt x="0" y="265"/>
                </a:moveTo>
                <a:lnTo>
                  <a:pt x="26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9" name="Freeform 167">
            <a:extLst>
              <a:ext uri="{FF2B5EF4-FFF2-40B4-BE49-F238E27FC236}">
                <a16:creationId xmlns:a16="http://schemas.microsoft.com/office/drawing/2014/main" xmlns="" id="{AA9772BA-B7E7-4313-BC01-C63DD6602DBB}"/>
              </a:ext>
            </a:extLst>
          </xdr:cNvPr>
          <xdr:cNvSpPr>
            <a:spLocks/>
          </xdr:cNvSpPr>
        </xdr:nvSpPr>
        <xdr:spPr bwMode="auto">
          <a:xfrm>
            <a:off x="2331154" y="3774692"/>
            <a:ext cx="168428" cy="169178"/>
          </a:xfrm>
          <a:custGeom>
            <a:avLst/>
            <a:gdLst>
              <a:gd name="T0" fmla="*/ 0 w 265"/>
              <a:gd name="T1" fmla="*/ 265 h 265"/>
              <a:gd name="T2" fmla="*/ 265 w 265"/>
              <a:gd name="T3" fmla="*/ 0 h 265"/>
              <a:gd name="T4" fmla="*/ 265 w 265"/>
              <a:gd name="T5" fmla="*/ 0 h 265"/>
            </a:gdLst>
            <a:ahLst/>
            <a:cxnLst>
              <a:cxn ang="0">
                <a:pos x="T0" y="T1"/>
              </a:cxn>
              <a:cxn ang="0">
                <a:pos x="T2" y="T3"/>
              </a:cxn>
              <a:cxn ang="0">
                <a:pos x="T4" y="T5"/>
              </a:cxn>
            </a:cxnLst>
            <a:rect l="0" t="0" r="r" b="b"/>
            <a:pathLst>
              <a:path w="265" h="265">
                <a:moveTo>
                  <a:pt x="0" y="265"/>
                </a:moveTo>
                <a:lnTo>
                  <a:pt x="26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0" name="Freeform 166">
            <a:extLst>
              <a:ext uri="{FF2B5EF4-FFF2-40B4-BE49-F238E27FC236}">
                <a16:creationId xmlns:a16="http://schemas.microsoft.com/office/drawing/2014/main" xmlns="" id="{11A82943-0B4B-487F-9C4B-749203EB43F7}"/>
              </a:ext>
            </a:extLst>
          </xdr:cNvPr>
          <xdr:cNvSpPr>
            <a:spLocks/>
          </xdr:cNvSpPr>
        </xdr:nvSpPr>
        <xdr:spPr bwMode="auto">
          <a:xfrm>
            <a:off x="1822232" y="3774692"/>
            <a:ext cx="168428" cy="169178"/>
          </a:xfrm>
          <a:custGeom>
            <a:avLst/>
            <a:gdLst>
              <a:gd name="T0" fmla="*/ 0 w 265"/>
              <a:gd name="T1" fmla="*/ 265 h 265"/>
              <a:gd name="T2" fmla="*/ 265 w 265"/>
              <a:gd name="T3" fmla="*/ 0 h 265"/>
              <a:gd name="T4" fmla="*/ 265 w 265"/>
              <a:gd name="T5" fmla="*/ 0 h 265"/>
            </a:gdLst>
            <a:ahLst/>
            <a:cxnLst>
              <a:cxn ang="0">
                <a:pos x="T0" y="T1"/>
              </a:cxn>
              <a:cxn ang="0">
                <a:pos x="T2" y="T3"/>
              </a:cxn>
              <a:cxn ang="0">
                <a:pos x="T4" y="T5"/>
              </a:cxn>
            </a:cxnLst>
            <a:rect l="0" t="0" r="r" b="b"/>
            <a:pathLst>
              <a:path w="265" h="265">
                <a:moveTo>
                  <a:pt x="0" y="265"/>
                </a:moveTo>
                <a:lnTo>
                  <a:pt x="26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1" name="Freeform 165">
            <a:extLst>
              <a:ext uri="{FF2B5EF4-FFF2-40B4-BE49-F238E27FC236}">
                <a16:creationId xmlns:a16="http://schemas.microsoft.com/office/drawing/2014/main" xmlns="" id="{D504B128-86E9-4DBC-BFCB-20883159D458}"/>
              </a:ext>
            </a:extLst>
          </xdr:cNvPr>
          <xdr:cNvSpPr>
            <a:spLocks/>
          </xdr:cNvSpPr>
        </xdr:nvSpPr>
        <xdr:spPr bwMode="auto">
          <a:xfrm>
            <a:off x="1805072" y="3774692"/>
            <a:ext cx="168428" cy="169178"/>
          </a:xfrm>
          <a:custGeom>
            <a:avLst/>
            <a:gdLst>
              <a:gd name="T0" fmla="*/ 0 w 265"/>
              <a:gd name="T1" fmla="*/ 265 h 265"/>
              <a:gd name="T2" fmla="*/ 265 w 265"/>
              <a:gd name="T3" fmla="*/ 0 h 265"/>
              <a:gd name="T4" fmla="*/ 265 w 265"/>
              <a:gd name="T5" fmla="*/ 0 h 265"/>
            </a:gdLst>
            <a:ahLst/>
            <a:cxnLst>
              <a:cxn ang="0">
                <a:pos x="T0" y="T1"/>
              </a:cxn>
              <a:cxn ang="0">
                <a:pos x="T2" y="T3"/>
              </a:cxn>
              <a:cxn ang="0">
                <a:pos x="T4" y="T5"/>
              </a:cxn>
            </a:cxnLst>
            <a:rect l="0" t="0" r="r" b="b"/>
            <a:pathLst>
              <a:path w="265" h="265">
                <a:moveTo>
                  <a:pt x="0" y="265"/>
                </a:moveTo>
                <a:lnTo>
                  <a:pt x="26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2" name="Freeform 164">
            <a:extLst>
              <a:ext uri="{FF2B5EF4-FFF2-40B4-BE49-F238E27FC236}">
                <a16:creationId xmlns:a16="http://schemas.microsoft.com/office/drawing/2014/main" xmlns="" id="{36029B12-226D-4960-92C9-9D7B2DC44141}"/>
              </a:ext>
            </a:extLst>
          </xdr:cNvPr>
          <xdr:cNvSpPr>
            <a:spLocks/>
          </xdr:cNvSpPr>
        </xdr:nvSpPr>
        <xdr:spPr bwMode="auto">
          <a:xfrm>
            <a:off x="2857236" y="3774692"/>
            <a:ext cx="167792" cy="169178"/>
          </a:xfrm>
          <a:custGeom>
            <a:avLst/>
            <a:gdLst>
              <a:gd name="T0" fmla="*/ 0 w 264"/>
              <a:gd name="T1" fmla="*/ 265 h 265"/>
              <a:gd name="T2" fmla="*/ 264 w 264"/>
              <a:gd name="T3" fmla="*/ 0 h 265"/>
              <a:gd name="T4" fmla="*/ 264 w 264"/>
              <a:gd name="T5" fmla="*/ 0 h 265"/>
            </a:gdLst>
            <a:ahLst/>
            <a:cxnLst>
              <a:cxn ang="0">
                <a:pos x="T0" y="T1"/>
              </a:cxn>
              <a:cxn ang="0">
                <a:pos x="T2" y="T3"/>
              </a:cxn>
              <a:cxn ang="0">
                <a:pos x="T4" y="T5"/>
              </a:cxn>
            </a:cxnLst>
            <a:rect l="0" t="0" r="r" b="b"/>
            <a:pathLst>
              <a:path w="264" h="265">
                <a:moveTo>
                  <a:pt x="0" y="265"/>
                </a:moveTo>
                <a:lnTo>
                  <a:pt x="26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3" name="Freeform 163">
            <a:extLst>
              <a:ext uri="{FF2B5EF4-FFF2-40B4-BE49-F238E27FC236}">
                <a16:creationId xmlns:a16="http://schemas.microsoft.com/office/drawing/2014/main" xmlns="" id="{50999E0C-CC8B-42D5-B052-928EEEB1C070}"/>
              </a:ext>
            </a:extLst>
          </xdr:cNvPr>
          <xdr:cNvSpPr>
            <a:spLocks/>
          </xdr:cNvSpPr>
        </xdr:nvSpPr>
        <xdr:spPr bwMode="auto">
          <a:xfrm>
            <a:off x="2873761" y="3774692"/>
            <a:ext cx="168428" cy="169178"/>
          </a:xfrm>
          <a:custGeom>
            <a:avLst/>
            <a:gdLst>
              <a:gd name="T0" fmla="*/ 265 w 265"/>
              <a:gd name="T1" fmla="*/ 0 h 265"/>
              <a:gd name="T2" fmla="*/ 0 w 265"/>
              <a:gd name="T3" fmla="*/ 265 h 265"/>
              <a:gd name="T4" fmla="*/ 0 w 265"/>
              <a:gd name="T5" fmla="*/ 265 h 265"/>
            </a:gdLst>
            <a:ahLst/>
            <a:cxnLst>
              <a:cxn ang="0">
                <a:pos x="T0" y="T1"/>
              </a:cxn>
              <a:cxn ang="0">
                <a:pos x="T2" y="T3"/>
              </a:cxn>
              <a:cxn ang="0">
                <a:pos x="T4" y="T5"/>
              </a:cxn>
            </a:cxnLst>
            <a:rect l="0" t="0" r="r" b="b"/>
            <a:pathLst>
              <a:path w="265" h="265">
                <a:moveTo>
                  <a:pt x="265" y="0"/>
                </a:moveTo>
                <a:lnTo>
                  <a:pt x="0" y="265"/>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4" name="Freeform 162">
            <a:extLst>
              <a:ext uri="{FF2B5EF4-FFF2-40B4-BE49-F238E27FC236}">
                <a16:creationId xmlns:a16="http://schemas.microsoft.com/office/drawing/2014/main" xmlns="" id="{40F2D244-C279-46D0-8D06-28DA4B135B58}"/>
              </a:ext>
            </a:extLst>
          </xdr:cNvPr>
          <xdr:cNvSpPr>
            <a:spLocks/>
          </xdr:cNvSpPr>
        </xdr:nvSpPr>
        <xdr:spPr bwMode="auto">
          <a:xfrm>
            <a:off x="1684312" y="3414507"/>
            <a:ext cx="185588" cy="185676"/>
          </a:xfrm>
          <a:custGeom>
            <a:avLst/>
            <a:gdLst>
              <a:gd name="T0" fmla="*/ 0 w 292"/>
              <a:gd name="T1" fmla="*/ 291 h 291"/>
              <a:gd name="T2" fmla="*/ 292 w 292"/>
              <a:gd name="T3" fmla="*/ 0 h 291"/>
              <a:gd name="T4" fmla="*/ 292 w 292"/>
              <a:gd name="T5" fmla="*/ 0 h 291"/>
            </a:gdLst>
            <a:ahLst/>
            <a:cxnLst>
              <a:cxn ang="0">
                <a:pos x="T0" y="T1"/>
              </a:cxn>
              <a:cxn ang="0">
                <a:pos x="T2" y="T3"/>
              </a:cxn>
              <a:cxn ang="0">
                <a:pos x="T4" y="T5"/>
              </a:cxn>
            </a:cxnLst>
            <a:rect l="0" t="0" r="r" b="b"/>
            <a:pathLst>
              <a:path w="292" h="291">
                <a:moveTo>
                  <a:pt x="0" y="291"/>
                </a:moveTo>
                <a:lnTo>
                  <a:pt x="292"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5" name="Freeform 161">
            <a:extLst>
              <a:ext uri="{FF2B5EF4-FFF2-40B4-BE49-F238E27FC236}">
                <a16:creationId xmlns:a16="http://schemas.microsoft.com/office/drawing/2014/main" xmlns="" id="{F90D1978-18EB-47A4-87D4-7B87BC71E9EF}"/>
              </a:ext>
            </a:extLst>
          </xdr:cNvPr>
          <xdr:cNvSpPr>
            <a:spLocks/>
          </xdr:cNvSpPr>
        </xdr:nvSpPr>
        <xdr:spPr bwMode="auto">
          <a:xfrm>
            <a:off x="1684312" y="3414507"/>
            <a:ext cx="202749" cy="202175"/>
          </a:xfrm>
          <a:custGeom>
            <a:avLst/>
            <a:gdLst>
              <a:gd name="T0" fmla="*/ 319 w 319"/>
              <a:gd name="T1" fmla="*/ 0 h 317"/>
              <a:gd name="T2" fmla="*/ 0 w 319"/>
              <a:gd name="T3" fmla="*/ 317 h 317"/>
              <a:gd name="T4" fmla="*/ 0 w 319"/>
              <a:gd name="T5" fmla="*/ 317 h 317"/>
            </a:gdLst>
            <a:ahLst/>
            <a:cxnLst>
              <a:cxn ang="0">
                <a:pos x="T0" y="T1"/>
              </a:cxn>
              <a:cxn ang="0">
                <a:pos x="T2" y="T3"/>
              </a:cxn>
              <a:cxn ang="0">
                <a:pos x="T4" y="T5"/>
              </a:cxn>
            </a:cxnLst>
            <a:rect l="0" t="0" r="r" b="b"/>
            <a:pathLst>
              <a:path w="319" h="317">
                <a:moveTo>
                  <a:pt x="319" y="0"/>
                </a:moveTo>
                <a:lnTo>
                  <a:pt x="0" y="317"/>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6" name="Freeform 160">
            <a:extLst>
              <a:ext uri="{FF2B5EF4-FFF2-40B4-BE49-F238E27FC236}">
                <a16:creationId xmlns:a16="http://schemas.microsoft.com/office/drawing/2014/main" xmlns="" id="{A777E770-C996-449A-BC08-7D21C19AAD41}"/>
              </a:ext>
            </a:extLst>
          </xdr:cNvPr>
          <xdr:cNvSpPr>
            <a:spLocks/>
          </xdr:cNvSpPr>
        </xdr:nvSpPr>
        <xdr:spPr bwMode="auto">
          <a:xfrm>
            <a:off x="1684312" y="3414507"/>
            <a:ext cx="219909" cy="219309"/>
          </a:xfrm>
          <a:custGeom>
            <a:avLst/>
            <a:gdLst>
              <a:gd name="T0" fmla="*/ 0 w 346"/>
              <a:gd name="T1" fmla="*/ 344 h 344"/>
              <a:gd name="T2" fmla="*/ 346 w 346"/>
              <a:gd name="T3" fmla="*/ 0 h 344"/>
              <a:gd name="T4" fmla="*/ 346 w 346"/>
              <a:gd name="T5" fmla="*/ 0 h 344"/>
            </a:gdLst>
            <a:ahLst/>
            <a:cxnLst>
              <a:cxn ang="0">
                <a:pos x="T0" y="T1"/>
              </a:cxn>
              <a:cxn ang="0">
                <a:pos x="T2" y="T3"/>
              </a:cxn>
              <a:cxn ang="0">
                <a:pos x="T4" y="T5"/>
              </a:cxn>
            </a:cxnLst>
            <a:rect l="0" t="0" r="r" b="b"/>
            <a:pathLst>
              <a:path w="346" h="344">
                <a:moveTo>
                  <a:pt x="0" y="344"/>
                </a:moveTo>
                <a:lnTo>
                  <a:pt x="34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7" name="Freeform 159">
            <a:extLst>
              <a:ext uri="{FF2B5EF4-FFF2-40B4-BE49-F238E27FC236}">
                <a16:creationId xmlns:a16="http://schemas.microsoft.com/office/drawing/2014/main" xmlns="" id="{CC7F36E5-5177-4EF8-A988-E9DB23401487}"/>
              </a:ext>
            </a:extLst>
          </xdr:cNvPr>
          <xdr:cNvSpPr>
            <a:spLocks/>
          </xdr:cNvSpPr>
        </xdr:nvSpPr>
        <xdr:spPr bwMode="auto">
          <a:xfrm>
            <a:off x="4394346" y="3701081"/>
            <a:ext cx="74362" cy="73611"/>
          </a:xfrm>
          <a:custGeom>
            <a:avLst/>
            <a:gdLst>
              <a:gd name="T0" fmla="*/ 0 w 117"/>
              <a:gd name="T1" fmla="*/ 116 h 116"/>
              <a:gd name="T2" fmla="*/ 117 w 117"/>
              <a:gd name="T3" fmla="*/ 0 h 116"/>
              <a:gd name="T4" fmla="*/ 117 w 117"/>
              <a:gd name="T5" fmla="*/ 0 h 116"/>
            </a:gdLst>
            <a:ahLst/>
            <a:cxnLst>
              <a:cxn ang="0">
                <a:pos x="T0" y="T1"/>
              </a:cxn>
              <a:cxn ang="0">
                <a:pos x="T2" y="T3"/>
              </a:cxn>
              <a:cxn ang="0">
                <a:pos x="T4" y="T5"/>
              </a:cxn>
            </a:cxnLst>
            <a:rect l="0" t="0" r="r" b="b"/>
            <a:pathLst>
              <a:path w="117" h="116">
                <a:moveTo>
                  <a:pt x="0" y="116"/>
                </a:moveTo>
                <a:lnTo>
                  <a:pt x="11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8" name="Freeform 158">
            <a:extLst>
              <a:ext uri="{FF2B5EF4-FFF2-40B4-BE49-F238E27FC236}">
                <a16:creationId xmlns:a16="http://schemas.microsoft.com/office/drawing/2014/main" xmlns="" id="{B66CA039-CBFA-428D-A8E8-C9F54B625502}"/>
              </a:ext>
            </a:extLst>
          </xdr:cNvPr>
          <xdr:cNvSpPr>
            <a:spLocks/>
          </xdr:cNvSpPr>
        </xdr:nvSpPr>
        <xdr:spPr bwMode="auto">
          <a:xfrm>
            <a:off x="4428031" y="3734714"/>
            <a:ext cx="40677" cy="39979"/>
          </a:xfrm>
          <a:custGeom>
            <a:avLst/>
            <a:gdLst>
              <a:gd name="T0" fmla="*/ 0 w 64"/>
              <a:gd name="T1" fmla="*/ 63 h 63"/>
              <a:gd name="T2" fmla="*/ 64 w 64"/>
              <a:gd name="T3" fmla="*/ 0 h 63"/>
              <a:gd name="T4" fmla="*/ 64 w 64"/>
              <a:gd name="T5" fmla="*/ 0 h 63"/>
            </a:gdLst>
            <a:ahLst/>
            <a:cxnLst>
              <a:cxn ang="0">
                <a:pos x="T0" y="T1"/>
              </a:cxn>
              <a:cxn ang="0">
                <a:pos x="T2" y="T3"/>
              </a:cxn>
              <a:cxn ang="0">
                <a:pos x="T4" y="T5"/>
              </a:cxn>
            </a:cxnLst>
            <a:rect l="0" t="0" r="r" b="b"/>
            <a:pathLst>
              <a:path w="64" h="63">
                <a:moveTo>
                  <a:pt x="0" y="63"/>
                </a:moveTo>
                <a:lnTo>
                  <a:pt x="6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9" name="Freeform 157">
            <a:extLst>
              <a:ext uri="{FF2B5EF4-FFF2-40B4-BE49-F238E27FC236}">
                <a16:creationId xmlns:a16="http://schemas.microsoft.com/office/drawing/2014/main" xmlns="" id="{3F98D721-E633-43E4-8B84-CECE78814BF4}"/>
              </a:ext>
            </a:extLst>
          </xdr:cNvPr>
          <xdr:cNvSpPr>
            <a:spLocks/>
          </xdr:cNvSpPr>
        </xdr:nvSpPr>
        <xdr:spPr bwMode="auto">
          <a:xfrm>
            <a:off x="4410871" y="3717580"/>
            <a:ext cx="57837" cy="57112"/>
          </a:xfrm>
          <a:custGeom>
            <a:avLst/>
            <a:gdLst>
              <a:gd name="T0" fmla="*/ 0 w 91"/>
              <a:gd name="T1" fmla="*/ 90 h 90"/>
              <a:gd name="T2" fmla="*/ 91 w 91"/>
              <a:gd name="T3" fmla="*/ 0 h 90"/>
              <a:gd name="T4" fmla="*/ 91 w 91"/>
              <a:gd name="T5" fmla="*/ 0 h 90"/>
            </a:gdLst>
            <a:ahLst/>
            <a:cxnLst>
              <a:cxn ang="0">
                <a:pos x="T0" y="T1"/>
              </a:cxn>
              <a:cxn ang="0">
                <a:pos x="T2" y="T3"/>
              </a:cxn>
              <a:cxn ang="0">
                <a:pos x="T4" y="T5"/>
              </a:cxn>
            </a:cxnLst>
            <a:rect l="0" t="0" r="r" b="b"/>
            <a:pathLst>
              <a:path w="91" h="90">
                <a:moveTo>
                  <a:pt x="0" y="90"/>
                </a:moveTo>
                <a:lnTo>
                  <a:pt x="91"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80" name="Freeform 156">
            <a:extLst>
              <a:ext uri="{FF2B5EF4-FFF2-40B4-BE49-F238E27FC236}">
                <a16:creationId xmlns:a16="http://schemas.microsoft.com/office/drawing/2014/main" xmlns="" id="{1A75B62A-7CBE-416E-A257-EBBE1B5D0B0B}"/>
              </a:ext>
            </a:extLst>
          </xdr:cNvPr>
          <xdr:cNvSpPr>
            <a:spLocks/>
          </xdr:cNvSpPr>
        </xdr:nvSpPr>
        <xdr:spPr bwMode="auto">
          <a:xfrm>
            <a:off x="3817417" y="3414507"/>
            <a:ext cx="359561" cy="360186"/>
          </a:xfrm>
          <a:custGeom>
            <a:avLst/>
            <a:gdLst>
              <a:gd name="T0" fmla="*/ 0 w 567"/>
              <a:gd name="T1" fmla="*/ 566 h 566"/>
              <a:gd name="T2" fmla="*/ 567 w 567"/>
              <a:gd name="T3" fmla="*/ 0 h 566"/>
              <a:gd name="T4" fmla="*/ 567 w 567"/>
              <a:gd name="T5" fmla="*/ 0 h 566"/>
            </a:gdLst>
            <a:ahLst/>
            <a:cxnLst>
              <a:cxn ang="0">
                <a:pos x="T0" y="T1"/>
              </a:cxn>
              <a:cxn ang="0">
                <a:pos x="T2" y="T3"/>
              </a:cxn>
              <a:cxn ang="0">
                <a:pos x="T4" y="T5"/>
              </a:cxn>
            </a:cxnLst>
            <a:rect l="0" t="0" r="r" b="b"/>
            <a:pathLst>
              <a:path w="567" h="566">
                <a:moveTo>
                  <a:pt x="0" y="566"/>
                </a:moveTo>
                <a:lnTo>
                  <a:pt x="56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81" name="Freeform 155">
            <a:extLst>
              <a:ext uri="{FF2B5EF4-FFF2-40B4-BE49-F238E27FC236}">
                <a16:creationId xmlns:a16="http://schemas.microsoft.com/office/drawing/2014/main" xmlns="" id="{CFF28F60-2195-486A-BE82-F3D5B3E756A7}"/>
              </a:ext>
            </a:extLst>
          </xdr:cNvPr>
          <xdr:cNvSpPr>
            <a:spLocks/>
          </xdr:cNvSpPr>
        </xdr:nvSpPr>
        <xdr:spPr bwMode="auto">
          <a:xfrm>
            <a:off x="3834578" y="3414507"/>
            <a:ext cx="359561" cy="360186"/>
          </a:xfrm>
          <a:custGeom>
            <a:avLst/>
            <a:gdLst>
              <a:gd name="T0" fmla="*/ 0 w 567"/>
              <a:gd name="T1" fmla="*/ 566 h 566"/>
              <a:gd name="T2" fmla="*/ 567 w 567"/>
              <a:gd name="T3" fmla="*/ 0 h 566"/>
              <a:gd name="T4" fmla="*/ 567 w 567"/>
              <a:gd name="T5" fmla="*/ 0 h 566"/>
            </a:gdLst>
            <a:ahLst/>
            <a:cxnLst>
              <a:cxn ang="0">
                <a:pos x="T0" y="T1"/>
              </a:cxn>
              <a:cxn ang="0">
                <a:pos x="T2" y="T3"/>
              </a:cxn>
              <a:cxn ang="0">
                <a:pos x="T4" y="T5"/>
              </a:cxn>
            </a:cxnLst>
            <a:rect l="0" t="0" r="r" b="b"/>
            <a:pathLst>
              <a:path w="567" h="566">
                <a:moveTo>
                  <a:pt x="0" y="566"/>
                </a:moveTo>
                <a:lnTo>
                  <a:pt x="56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82" name="Freeform 154">
            <a:extLst>
              <a:ext uri="{FF2B5EF4-FFF2-40B4-BE49-F238E27FC236}">
                <a16:creationId xmlns:a16="http://schemas.microsoft.com/office/drawing/2014/main" xmlns="" id="{14B39682-9CFF-498D-A12B-762D58B85CF1}"/>
              </a:ext>
            </a:extLst>
          </xdr:cNvPr>
          <xdr:cNvSpPr>
            <a:spLocks/>
          </xdr:cNvSpPr>
        </xdr:nvSpPr>
        <xdr:spPr bwMode="auto">
          <a:xfrm>
            <a:off x="3851103" y="3414507"/>
            <a:ext cx="360196" cy="360186"/>
          </a:xfrm>
          <a:custGeom>
            <a:avLst/>
            <a:gdLst>
              <a:gd name="T0" fmla="*/ 0 w 568"/>
              <a:gd name="T1" fmla="*/ 566 h 566"/>
              <a:gd name="T2" fmla="*/ 568 w 568"/>
              <a:gd name="T3" fmla="*/ 0 h 566"/>
              <a:gd name="T4" fmla="*/ 568 w 568"/>
              <a:gd name="T5" fmla="*/ 0 h 566"/>
            </a:gdLst>
            <a:ahLst/>
            <a:cxnLst>
              <a:cxn ang="0">
                <a:pos x="T0" y="T1"/>
              </a:cxn>
              <a:cxn ang="0">
                <a:pos x="T2" y="T3"/>
              </a:cxn>
              <a:cxn ang="0">
                <a:pos x="T4" y="T5"/>
              </a:cxn>
            </a:cxnLst>
            <a:rect l="0" t="0" r="r" b="b"/>
            <a:pathLst>
              <a:path w="568" h="566">
                <a:moveTo>
                  <a:pt x="0" y="566"/>
                </a:moveTo>
                <a:lnTo>
                  <a:pt x="568"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83" name="Freeform 153">
            <a:extLst>
              <a:ext uri="{FF2B5EF4-FFF2-40B4-BE49-F238E27FC236}">
                <a16:creationId xmlns:a16="http://schemas.microsoft.com/office/drawing/2014/main" xmlns="" id="{9A6095CC-83AB-4EB4-AB21-BBA4BF626CD7}"/>
              </a:ext>
            </a:extLst>
          </xdr:cNvPr>
          <xdr:cNvSpPr>
            <a:spLocks/>
          </xdr:cNvSpPr>
        </xdr:nvSpPr>
        <xdr:spPr bwMode="auto">
          <a:xfrm>
            <a:off x="3257649" y="3414507"/>
            <a:ext cx="359562" cy="360186"/>
          </a:xfrm>
          <a:custGeom>
            <a:avLst/>
            <a:gdLst>
              <a:gd name="T0" fmla="*/ 0 w 567"/>
              <a:gd name="T1" fmla="*/ 566 h 566"/>
              <a:gd name="T2" fmla="*/ 567 w 567"/>
              <a:gd name="T3" fmla="*/ 0 h 566"/>
              <a:gd name="T4" fmla="*/ 567 w 567"/>
              <a:gd name="T5" fmla="*/ 0 h 566"/>
            </a:gdLst>
            <a:ahLst/>
            <a:cxnLst>
              <a:cxn ang="0">
                <a:pos x="T0" y="T1"/>
              </a:cxn>
              <a:cxn ang="0">
                <a:pos x="T2" y="T3"/>
              </a:cxn>
              <a:cxn ang="0">
                <a:pos x="T4" y="T5"/>
              </a:cxn>
            </a:cxnLst>
            <a:rect l="0" t="0" r="r" b="b"/>
            <a:pathLst>
              <a:path w="567" h="566">
                <a:moveTo>
                  <a:pt x="0" y="566"/>
                </a:moveTo>
                <a:lnTo>
                  <a:pt x="56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84" name="Freeform 152">
            <a:extLst>
              <a:ext uri="{FF2B5EF4-FFF2-40B4-BE49-F238E27FC236}">
                <a16:creationId xmlns:a16="http://schemas.microsoft.com/office/drawing/2014/main" xmlns="" id="{9080167B-B1FF-45AF-9574-B4E2D1FDDC58}"/>
              </a:ext>
            </a:extLst>
          </xdr:cNvPr>
          <xdr:cNvSpPr>
            <a:spLocks/>
          </xdr:cNvSpPr>
        </xdr:nvSpPr>
        <xdr:spPr bwMode="auto">
          <a:xfrm>
            <a:off x="3274809" y="3414507"/>
            <a:ext cx="359562" cy="360186"/>
          </a:xfrm>
          <a:custGeom>
            <a:avLst/>
            <a:gdLst>
              <a:gd name="T0" fmla="*/ 0 w 567"/>
              <a:gd name="T1" fmla="*/ 566 h 566"/>
              <a:gd name="T2" fmla="*/ 567 w 567"/>
              <a:gd name="T3" fmla="*/ 0 h 566"/>
              <a:gd name="T4" fmla="*/ 567 w 567"/>
              <a:gd name="T5" fmla="*/ 0 h 566"/>
            </a:gdLst>
            <a:ahLst/>
            <a:cxnLst>
              <a:cxn ang="0">
                <a:pos x="T0" y="T1"/>
              </a:cxn>
              <a:cxn ang="0">
                <a:pos x="T2" y="T3"/>
              </a:cxn>
              <a:cxn ang="0">
                <a:pos x="T4" y="T5"/>
              </a:cxn>
            </a:cxnLst>
            <a:rect l="0" t="0" r="r" b="b"/>
            <a:pathLst>
              <a:path w="567" h="566">
                <a:moveTo>
                  <a:pt x="0" y="566"/>
                </a:moveTo>
                <a:lnTo>
                  <a:pt x="56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85" name="Freeform 151">
            <a:extLst>
              <a:ext uri="{FF2B5EF4-FFF2-40B4-BE49-F238E27FC236}">
                <a16:creationId xmlns:a16="http://schemas.microsoft.com/office/drawing/2014/main" xmlns="" id="{CE98D337-322A-4AF1-8BC1-5CE6C9CD1892}"/>
              </a:ext>
            </a:extLst>
          </xdr:cNvPr>
          <xdr:cNvSpPr>
            <a:spLocks/>
          </xdr:cNvSpPr>
        </xdr:nvSpPr>
        <xdr:spPr bwMode="auto">
          <a:xfrm>
            <a:off x="3240488" y="3414507"/>
            <a:ext cx="359562" cy="360186"/>
          </a:xfrm>
          <a:custGeom>
            <a:avLst/>
            <a:gdLst>
              <a:gd name="T0" fmla="*/ 0 w 567"/>
              <a:gd name="T1" fmla="*/ 566 h 566"/>
              <a:gd name="T2" fmla="*/ 567 w 567"/>
              <a:gd name="T3" fmla="*/ 0 h 566"/>
              <a:gd name="T4" fmla="*/ 567 w 567"/>
              <a:gd name="T5" fmla="*/ 0 h 566"/>
            </a:gdLst>
            <a:ahLst/>
            <a:cxnLst>
              <a:cxn ang="0">
                <a:pos x="T0" y="T1"/>
              </a:cxn>
              <a:cxn ang="0">
                <a:pos x="T2" y="T3"/>
              </a:cxn>
              <a:cxn ang="0">
                <a:pos x="T4" y="T5"/>
              </a:cxn>
            </a:cxnLst>
            <a:rect l="0" t="0" r="r" b="b"/>
            <a:pathLst>
              <a:path w="567" h="566">
                <a:moveTo>
                  <a:pt x="0" y="566"/>
                </a:moveTo>
                <a:lnTo>
                  <a:pt x="56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86" name="Freeform 150">
            <a:extLst>
              <a:ext uri="{FF2B5EF4-FFF2-40B4-BE49-F238E27FC236}">
                <a16:creationId xmlns:a16="http://schemas.microsoft.com/office/drawing/2014/main" xmlns="" id="{5D4544DD-41EA-4C8D-8463-629B08B0E74C}"/>
              </a:ext>
            </a:extLst>
          </xdr:cNvPr>
          <xdr:cNvSpPr>
            <a:spLocks/>
          </xdr:cNvSpPr>
        </xdr:nvSpPr>
        <xdr:spPr bwMode="auto">
          <a:xfrm>
            <a:off x="2697881" y="3414507"/>
            <a:ext cx="359561" cy="360186"/>
          </a:xfrm>
          <a:custGeom>
            <a:avLst/>
            <a:gdLst>
              <a:gd name="T0" fmla="*/ 0 w 567"/>
              <a:gd name="T1" fmla="*/ 566 h 566"/>
              <a:gd name="T2" fmla="*/ 567 w 567"/>
              <a:gd name="T3" fmla="*/ 0 h 566"/>
              <a:gd name="T4" fmla="*/ 567 w 567"/>
              <a:gd name="T5" fmla="*/ 0 h 566"/>
            </a:gdLst>
            <a:ahLst/>
            <a:cxnLst>
              <a:cxn ang="0">
                <a:pos x="T0" y="T1"/>
              </a:cxn>
              <a:cxn ang="0">
                <a:pos x="T2" y="T3"/>
              </a:cxn>
              <a:cxn ang="0">
                <a:pos x="T4" y="T5"/>
              </a:cxn>
            </a:cxnLst>
            <a:rect l="0" t="0" r="r" b="b"/>
            <a:pathLst>
              <a:path w="567" h="566">
                <a:moveTo>
                  <a:pt x="0" y="566"/>
                </a:moveTo>
                <a:lnTo>
                  <a:pt x="56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87" name="Freeform 149">
            <a:extLst>
              <a:ext uri="{FF2B5EF4-FFF2-40B4-BE49-F238E27FC236}">
                <a16:creationId xmlns:a16="http://schemas.microsoft.com/office/drawing/2014/main" xmlns="" id="{94A43487-5C70-4795-8102-1085B3B75F5D}"/>
              </a:ext>
            </a:extLst>
          </xdr:cNvPr>
          <xdr:cNvSpPr>
            <a:spLocks/>
          </xdr:cNvSpPr>
        </xdr:nvSpPr>
        <xdr:spPr bwMode="auto">
          <a:xfrm>
            <a:off x="2680721" y="3414507"/>
            <a:ext cx="359561" cy="360186"/>
          </a:xfrm>
          <a:custGeom>
            <a:avLst/>
            <a:gdLst>
              <a:gd name="T0" fmla="*/ 0 w 567"/>
              <a:gd name="T1" fmla="*/ 566 h 566"/>
              <a:gd name="T2" fmla="*/ 567 w 567"/>
              <a:gd name="T3" fmla="*/ 0 h 566"/>
              <a:gd name="T4" fmla="*/ 567 w 567"/>
              <a:gd name="T5" fmla="*/ 0 h 566"/>
            </a:gdLst>
            <a:ahLst/>
            <a:cxnLst>
              <a:cxn ang="0">
                <a:pos x="T0" y="T1"/>
              </a:cxn>
              <a:cxn ang="0">
                <a:pos x="T2" y="T3"/>
              </a:cxn>
              <a:cxn ang="0">
                <a:pos x="T4" y="T5"/>
              </a:cxn>
            </a:cxnLst>
            <a:rect l="0" t="0" r="r" b="b"/>
            <a:pathLst>
              <a:path w="567" h="566">
                <a:moveTo>
                  <a:pt x="0" y="566"/>
                </a:moveTo>
                <a:lnTo>
                  <a:pt x="56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88" name="Freeform 148">
            <a:extLst>
              <a:ext uri="{FF2B5EF4-FFF2-40B4-BE49-F238E27FC236}">
                <a16:creationId xmlns:a16="http://schemas.microsoft.com/office/drawing/2014/main" xmlns="" id="{1DE1BAC6-3E8A-45D5-80EF-7511964CAE8F}"/>
              </a:ext>
            </a:extLst>
          </xdr:cNvPr>
          <xdr:cNvSpPr>
            <a:spLocks/>
          </xdr:cNvSpPr>
        </xdr:nvSpPr>
        <xdr:spPr bwMode="auto">
          <a:xfrm>
            <a:off x="2664196" y="3414507"/>
            <a:ext cx="358925" cy="360186"/>
          </a:xfrm>
          <a:custGeom>
            <a:avLst/>
            <a:gdLst>
              <a:gd name="T0" fmla="*/ 0 w 566"/>
              <a:gd name="T1" fmla="*/ 566 h 566"/>
              <a:gd name="T2" fmla="*/ 566 w 566"/>
              <a:gd name="T3" fmla="*/ 0 h 566"/>
              <a:gd name="T4" fmla="*/ 566 w 566"/>
              <a:gd name="T5" fmla="*/ 0 h 566"/>
            </a:gdLst>
            <a:ahLst/>
            <a:cxnLst>
              <a:cxn ang="0">
                <a:pos x="T0" y="T1"/>
              </a:cxn>
              <a:cxn ang="0">
                <a:pos x="T2" y="T3"/>
              </a:cxn>
              <a:cxn ang="0">
                <a:pos x="T4" y="T5"/>
              </a:cxn>
            </a:cxnLst>
            <a:rect l="0" t="0" r="r" b="b"/>
            <a:pathLst>
              <a:path w="566" h="566">
                <a:moveTo>
                  <a:pt x="0" y="566"/>
                </a:moveTo>
                <a:lnTo>
                  <a:pt x="56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89" name="Freeform 147">
            <a:extLst>
              <a:ext uri="{FF2B5EF4-FFF2-40B4-BE49-F238E27FC236}">
                <a16:creationId xmlns:a16="http://schemas.microsoft.com/office/drawing/2014/main" xmlns="" id="{8CFA6E6D-F2C8-4FB4-8081-44B1E53C0AC6}"/>
              </a:ext>
            </a:extLst>
          </xdr:cNvPr>
          <xdr:cNvSpPr>
            <a:spLocks/>
          </xdr:cNvSpPr>
        </xdr:nvSpPr>
        <xdr:spPr bwMode="auto">
          <a:xfrm>
            <a:off x="2086457" y="3414507"/>
            <a:ext cx="360372" cy="360186"/>
          </a:xfrm>
          <a:custGeom>
            <a:avLst/>
            <a:gdLst>
              <a:gd name="T0" fmla="*/ 0 w 567"/>
              <a:gd name="T1" fmla="*/ 566 h 566"/>
              <a:gd name="T2" fmla="*/ 567 w 567"/>
              <a:gd name="T3" fmla="*/ 0 h 566"/>
              <a:gd name="T4" fmla="*/ 567 w 567"/>
              <a:gd name="T5" fmla="*/ 0 h 566"/>
            </a:gdLst>
            <a:ahLst/>
            <a:cxnLst>
              <a:cxn ang="0">
                <a:pos x="T0" y="T1"/>
              </a:cxn>
              <a:cxn ang="0">
                <a:pos x="T2" y="T3"/>
              </a:cxn>
              <a:cxn ang="0">
                <a:pos x="T4" y="T5"/>
              </a:cxn>
            </a:cxnLst>
            <a:rect l="0" t="0" r="r" b="b"/>
            <a:pathLst>
              <a:path w="567" h="566">
                <a:moveTo>
                  <a:pt x="0" y="566"/>
                </a:moveTo>
                <a:lnTo>
                  <a:pt x="56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90" name="Freeform 146">
            <a:extLst>
              <a:ext uri="{FF2B5EF4-FFF2-40B4-BE49-F238E27FC236}">
                <a16:creationId xmlns:a16="http://schemas.microsoft.com/office/drawing/2014/main" xmlns="" id="{4970CAF2-C35B-4A67-A127-FF7F16007D2C}"/>
              </a:ext>
            </a:extLst>
          </xdr:cNvPr>
          <xdr:cNvSpPr>
            <a:spLocks/>
          </xdr:cNvSpPr>
        </xdr:nvSpPr>
        <xdr:spPr bwMode="auto">
          <a:xfrm>
            <a:off x="2120142" y="3414507"/>
            <a:ext cx="360372" cy="360186"/>
          </a:xfrm>
          <a:custGeom>
            <a:avLst/>
            <a:gdLst>
              <a:gd name="T0" fmla="*/ 0 w 567"/>
              <a:gd name="T1" fmla="*/ 566 h 566"/>
              <a:gd name="T2" fmla="*/ 567 w 567"/>
              <a:gd name="T3" fmla="*/ 0 h 566"/>
              <a:gd name="T4" fmla="*/ 567 w 567"/>
              <a:gd name="T5" fmla="*/ 0 h 566"/>
            </a:gdLst>
            <a:ahLst/>
            <a:cxnLst>
              <a:cxn ang="0">
                <a:pos x="T0" y="T1"/>
              </a:cxn>
              <a:cxn ang="0">
                <a:pos x="T2" y="T3"/>
              </a:cxn>
              <a:cxn ang="0">
                <a:pos x="T4" y="T5"/>
              </a:cxn>
            </a:cxnLst>
            <a:rect l="0" t="0" r="r" b="b"/>
            <a:pathLst>
              <a:path w="567" h="566">
                <a:moveTo>
                  <a:pt x="0" y="566"/>
                </a:moveTo>
                <a:lnTo>
                  <a:pt x="56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91" name="Freeform 145">
            <a:extLst>
              <a:ext uri="{FF2B5EF4-FFF2-40B4-BE49-F238E27FC236}">
                <a16:creationId xmlns:a16="http://schemas.microsoft.com/office/drawing/2014/main" xmlns="" id="{9BC71949-906E-467B-ACC4-AA891F4031BC}"/>
              </a:ext>
            </a:extLst>
          </xdr:cNvPr>
          <xdr:cNvSpPr>
            <a:spLocks/>
          </xdr:cNvSpPr>
        </xdr:nvSpPr>
        <xdr:spPr bwMode="auto">
          <a:xfrm>
            <a:off x="2103617" y="3414507"/>
            <a:ext cx="359736" cy="360186"/>
          </a:xfrm>
          <a:custGeom>
            <a:avLst/>
            <a:gdLst>
              <a:gd name="T0" fmla="*/ 0 w 566"/>
              <a:gd name="T1" fmla="*/ 566 h 566"/>
              <a:gd name="T2" fmla="*/ 566 w 566"/>
              <a:gd name="T3" fmla="*/ 0 h 566"/>
              <a:gd name="T4" fmla="*/ 566 w 566"/>
              <a:gd name="T5" fmla="*/ 0 h 566"/>
            </a:gdLst>
            <a:ahLst/>
            <a:cxnLst>
              <a:cxn ang="0">
                <a:pos x="T0" y="T1"/>
              </a:cxn>
              <a:cxn ang="0">
                <a:pos x="T2" y="T3"/>
              </a:cxn>
              <a:cxn ang="0">
                <a:pos x="T4" y="T5"/>
              </a:cxn>
            </a:cxnLst>
            <a:rect l="0" t="0" r="r" b="b"/>
            <a:pathLst>
              <a:path w="566" h="566">
                <a:moveTo>
                  <a:pt x="0" y="566"/>
                </a:moveTo>
                <a:lnTo>
                  <a:pt x="56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92" name="Freeform 144">
            <a:extLst>
              <a:ext uri="{FF2B5EF4-FFF2-40B4-BE49-F238E27FC236}">
                <a16:creationId xmlns:a16="http://schemas.microsoft.com/office/drawing/2014/main" xmlns="" id="{5971C085-8206-42BE-B90E-453224E963F3}"/>
              </a:ext>
            </a:extLst>
          </xdr:cNvPr>
          <xdr:cNvSpPr>
            <a:spLocks/>
          </xdr:cNvSpPr>
        </xdr:nvSpPr>
        <xdr:spPr bwMode="auto">
          <a:xfrm>
            <a:off x="4452183" y="3927371"/>
            <a:ext cx="16525" cy="16499"/>
          </a:xfrm>
          <a:custGeom>
            <a:avLst/>
            <a:gdLst>
              <a:gd name="T0" fmla="*/ 0 w 26"/>
              <a:gd name="T1" fmla="*/ 26 h 26"/>
              <a:gd name="T2" fmla="*/ 26 w 26"/>
              <a:gd name="T3" fmla="*/ 0 h 26"/>
              <a:gd name="T4" fmla="*/ 26 w 26"/>
              <a:gd name="T5" fmla="*/ 0 h 26"/>
            </a:gdLst>
            <a:ahLst/>
            <a:cxnLst>
              <a:cxn ang="0">
                <a:pos x="T0" y="T1"/>
              </a:cxn>
              <a:cxn ang="0">
                <a:pos x="T2" y="T3"/>
              </a:cxn>
              <a:cxn ang="0">
                <a:pos x="T4" y="T5"/>
              </a:cxn>
            </a:cxnLst>
            <a:rect l="0" t="0" r="r" b="b"/>
            <a:pathLst>
              <a:path w="26" h="26">
                <a:moveTo>
                  <a:pt x="0" y="26"/>
                </a:moveTo>
                <a:lnTo>
                  <a:pt x="2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93" name="Freeform 143">
            <a:extLst>
              <a:ext uri="{FF2B5EF4-FFF2-40B4-BE49-F238E27FC236}">
                <a16:creationId xmlns:a16="http://schemas.microsoft.com/office/drawing/2014/main" xmlns="" id="{D1FA7850-F725-4602-93CC-22120CC9AA56}"/>
              </a:ext>
            </a:extLst>
          </xdr:cNvPr>
          <xdr:cNvSpPr>
            <a:spLocks/>
          </xdr:cNvSpPr>
        </xdr:nvSpPr>
        <xdr:spPr bwMode="auto">
          <a:xfrm>
            <a:off x="4435022" y="3910237"/>
            <a:ext cx="33686" cy="33633"/>
          </a:xfrm>
          <a:custGeom>
            <a:avLst/>
            <a:gdLst>
              <a:gd name="T0" fmla="*/ 0 w 53"/>
              <a:gd name="T1" fmla="*/ 53 h 53"/>
              <a:gd name="T2" fmla="*/ 53 w 53"/>
              <a:gd name="T3" fmla="*/ 0 h 53"/>
              <a:gd name="T4" fmla="*/ 53 w 53"/>
              <a:gd name="T5" fmla="*/ 0 h 53"/>
            </a:gdLst>
            <a:ahLst/>
            <a:cxnLst>
              <a:cxn ang="0">
                <a:pos x="T0" y="T1"/>
              </a:cxn>
              <a:cxn ang="0">
                <a:pos x="T2" y="T3"/>
              </a:cxn>
              <a:cxn ang="0">
                <a:pos x="T4" y="T5"/>
              </a:cxn>
            </a:cxnLst>
            <a:rect l="0" t="0" r="r" b="b"/>
            <a:pathLst>
              <a:path w="53" h="53">
                <a:moveTo>
                  <a:pt x="0" y="53"/>
                </a:moveTo>
                <a:lnTo>
                  <a:pt x="5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94" name="Line 26">
            <a:extLst>
              <a:ext uri="{FF2B5EF4-FFF2-40B4-BE49-F238E27FC236}">
                <a16:creationId xmlns:a16="http://schemas.microsoft.com/office/drawing/2014/main" xmlns="" id="{29C2EEB0-0365-477C-94CB-AD66D8932DCE}"/>
              </a:ext>
            </a:extLst>
          </xdr:cNvPr>
          <xdr:cNvSpPr>
            <a:spLocks noChangeShapeType="1"/>
          </xdr:cNvSpPr>
        </xdr:nvSpPr>
        <xdr:spPr bwMode="auto">
          <a:xfrm>
            <a:off x="3084772" y="3418949"/>
            <a:ext cx="0" cy="347494"/>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695" name="Text Box 25">
            <a:extLst>
              <a:ext uri="{FF2B5EF4-FFF2-40B4-BE49-F238E27FC236}">
                <a16:creationId xmlns:a16="http://schemas.microsoft.com/office/drawing/2014/main" xmlns="" id="{12915E4D-1928-4803-A616-6DA5F3B1566F}"/>
              </a:ext>
            </a:extLst>
          </xdr:cNvPr>
          <xdr:cNvSpPr txBox="1">
            <a:spLocks noChangeArrowheads="1"/>
          </xdr:cNvSpPr>
        </xdr:nvSpPr>
        <xdr:spPr bwMode="auto">
          <a:xfrm>
            <a:off x="3104475" y="3513502"/>
            <a:ext cx="177961" cy="150774"/>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hh</a:t>
            </a:r>
          </a:p>
        </xdr:txBody>
      </xdr:sp>
      <xdr:sp macro="" textlink="">
        <xdr:nvSpPr>
          <xdr:cNvPr id="696" name="Line 24">
            <a:extLst>
              <a:ext uri="{FF2B5EF4-FFF2-40B4-BE49-F238E27FC236}">
                <a16:creationId xmlns:a16="http://schemas.microsoft.com/office/drawing/2014/main" xmlns="" id="{D73F4849-9580-45F9-BA05-D88A137773C3}"/>
              </a:ext>
            </a:extLst>
          </xdr:cNvPr>
          <xdr:cNvSpPr>
            <a:spLocks noChangeShapeType="1"/>
          </xdr:cNvSpPr>
        </xdr:nvSpPr>
        <xdr:spPr bwMode="auto">
          <a:xfrm>
            <a:off x="3084772" y="3770251"/>
            <a:ext cx="0" cy="164736"/>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697" name="Text Box 23">
            <a:extLst>
              <a:ext uri="{FF2B5EF4-FFF2-40B4-BE49-F238E27FC236}">
                <a16:creationId xmlns:a16="http://schemas.microsoft.com/office/drawing/2014/main" xmlns="" id="{FCF088D4-4FCA-4934-9AD1-2544D231A965}"/>
              </a:ext>
            </a:extLst>
          </xdr:cNvPr>
          <xdr:cNvSpPr txBox="1">
            <a:spLocks noChangeArrowheads="1"/>
          </xdr:cNvSpPr>
        </xdr:nvSpPr>
        <xdr:spPr bwMode="auto">
          <a:xfrm>
            <a:off x="3114644" y="3783577"/>
            <a:ext cx="101692" cy="150775"/>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h</a:t>
            </a:r>
          </a:p>
        </xdr:txBody>
      </xdr:sp>
    </xdr:grpSp>
    <xdr:clientData/>
  </xdr:twoCellAnchor>
  <xdr:twoCellAnchor>
    <xdr:from>
      <xdr:col>0</xdr:col>
      <xdr:colOff>309885</xdr:colOff>
      <xdr:row>16</xdr:row>
      <xdr:rowOff>29928</xdr:rowOff>
    </xdr:from>
    <xdr:to>
      <xdr:col>4</xdr:col>
      <xdr:colOff>350510</xdr:colOff>
      <xdr:row>16</xdr:row>
      <xdr:rowOff>222840</xdr:rowOff>
    </xdr:to>
    <xdr:sp macro="" textlink="">
      <xdr:nvSpPr>
        <xdr:cNvPr id="698" name="Text Box 22">
          <a:extLst>
            <a:ext uri="{FF2B5EF4-FFF2-40B4-BE49-F238E27FC236}">
              <a16:creationId xmlns:a16="http://schemas.microsoft.com/office/drawing/2014/main" xmlns="" id="{3A7F364E-DFD3-4B9E-8E7D-D374BF30940D}"/>
            </a:ext>
          </a:extLst>
        </xdr:cNvPr>
        <xdr:cNvSpPr txBox="1">
          <a:spLocks noChangeArrowheads="1"/>
        </xdr:cNvSpPr>
      </xdr:nvSpPr>
      <xdr:spPr bwMode="auto">
        <a:xfrm>
          <a:off x="1681485" y="4078053"/>
          <a:ext cx="2783825" cy="192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50" b="0" i="0" u="none" strike="noStrike" baseline="0">
              <a:solidFill>
                <a:srgbClr val="000000"/>
              </a:solidFill>
              <a:latin typeface="ＭＳ Ｐゴシック"/>
              <a:ea typeface="ＭＳ Ｐゴシック"/>
            </a:rPr>
            <a:t>５.円形中空スラブ</a:t>
          </a:r>
        </a:p>
      </xdr:txBody>
    </xdr:sp>
    <xdr:clientData/>
  </xdr:twoCellAnchor>
  <xdr:twoCellAnchor>
    <xdr:from>
      <xdr:col>0</xdr:col>
      <xdr:colOff>309249</xdr:colOff>
      <xdr:row>17</xdr:row>
      <xdr:rowOff>580</xdr:rowOff>
    </xdr:from>
    <xdr:to>
      <xdr:col>4</xdr:col>
      <xdr:colOff>358772</xdr:colOff>
      <xdr:row>19</xdr:row>
      <xdr:rowOff>124009</xdr:rowOff>
    </xdr:to>
    <xdr:grpSp>
      <xdr:nvGrpSpPr>
        <xdr:cNvPr id="699" name="グループ化 698">
          <a:extLst>
            <a:ext uri="{FF2B5EF4-FFF2-40B4-BE49-F238E27FC236}">
              <a16:creationId xmlns:a16="http://schemas.microsoft.com/office/drawing/2014/main" xmlns="" id="{7656DA34-9E14-4475-8BAB-8EF6F5FDD84F}"/>
            </a:ext>
          </a:extLst>
        </xdr:cNvPr>
        <xdr:cNvGrpSpPr/>
      </xdr:nvGrpSpPr>
      <xdr:grpSpPr>
        <a:xfrm>
          <a:off x="309249" y="4210630"/>
          <a:ext cx="2716523" cy="618729"/>
          <a:chOff x="1679228" y="4305069"/>
          <a:chExt cx="2789480" cy="601706"/>
        </a:xfrm>
      </xdr:grpSpPr>
      <xdr:sp macro="" textlink="">
        <xdr:nvSpPr>
          <xdr:cNvPr id="700" name="Rectangle 394">
            <a:extLst>
              <a:ext uri="{FF2B5EF4-FFF2-40B4-BE49-F238E27FC236}">
                <a16:creationId xmlns:a16="http://schemas.microsoft.com/office/drawing/2014/main" xmlns="" id="{1638A5B0-EBDA-4AD0-B8EE-C43149CD1783}"/>
              </a:ext>
            </a:extLst>
          </xdr:cNvPr>
          <xdr:cNvSpPr>
            <a:spLocks noChangeArrowheads="1"/>
          </xdr:cNvSpPr>
        </xdr:nvSpPr>
        <xdr:spPr bwMode="auto">
          <a:xfrm>
            <a:off x="1679228" y="4306338"/>
            <a:ext cx="2786938" cy="597898"/>
          </a:xfrm>
          <a:prstGeom prst="rect">
            <a:avLst/>
          </a:prstGeom>
          <a:solidFill>
            <a:srgbClr val="96969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1" name="Rectangle 393">
            <a:extLst>
              <a:ext uri="{FF2B5EF4-FFF2-40B4-BE49-F238E27FC236}">
                <a16:creationId xmlns:a16="http://schemas.microsoft.com/office/drawing/2014/main" xmlns="" id="{47179531-0D88-4B9A-88EA-68E6C8C35061}"/>
              </a:ext>
            </a:extLst>
          </xdr:cNvPr>
          <xdr:cNvSpPr>
            <a:spLocks noChangeArrowheads="1"/>
          </xdr:cNvSpPr>
        </xdr:nvSpPr>
        <xdr:spPr bwMode="auto">
          <a:xfrm>
            <a:off x="1679864" y="4464349"/>
            <a:ext cx="74998" cy="27896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2" name="Rectangle 392">
            <a:extLst>
              <a:ext uri="{FF2B5EF4-FFF2-40B4-BE49-F238E27FC236}">
                <a16:creationId xmlns:a16="http://schemas.microsoft.com/office/drawing/2014/main" xmlns="" id="{1D70DB03-0BC4-4AFD-AA20-869EE224DBAC}"/>
              </a:ext>
            </a:extLst>
          </xdr:cNvPr>
          <xdr:cNvSpPr>
            <a:spLocks noChangeArrowheads="1"/>
          </xdr:cNvSpPr>
        </xdr:nvSpPr>
        <xdr:spPr bwMode="auto">
          <a:xfrm>
            <a:off x="4390532" y="4463080"/>
            <a:ext cx="74998" cy="27896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3" name="Freeform 142">
            <a:extLst>
              <a:ext uri="{FF2B5EF4-FFF2-40B4-BE49-F238E27FC236}">
                <a16:creationId xmlns:a16="http://schemas.microsoft.com/office/drawing/2014/main" xmlns="" id="{4068A839-1F60-4DFC-AE9C-1CB183CBF029}"/>
              </a:ext>
            </a:extLst>
          </xdr:cNvPr>
          <xdr:cNvSpPr>
            <a:spLocks/>
          </xdr:cNvSpPr>
        </xdr:nvSpPr>
        <xdr:spPr bwMode="auto">
          <a:xfrm>
            <a:off x="1684312" y="4305069"/>
            <a:ext cx="2784396" cy="635"/>
          </a:xfrm>
          <a:custGeom>
            <a:avLst/>
            <a:gdLst>
              <a:gd name="T0" fmla="*/ 0 w 4386"/>
              <a:gd name="T1" fmla="*/ 4386 w 4386"/>
              <a:gd name="T2" fmla="*/ 4386 w 4386"/>
            </a:gdLst>
            <a:ahLst/>
            <a:cxnLst>
              <a:cxn ang="0">
                <a:pos x="T0" y="0"/>
              </a:cxn>
              <a:cxn ang="0">
                <a:pos x="T1" y="0"/>
              </a:cxn>
              <a:cxn ang="0">
                <a:pos x="T2" y="0"/>
              </a:cxn>
            </a:cxnLst>
            <a:rect l="0" t="0" r="r" b="b"/>
            <a:pathLst>
              <a:path w="4386">
                <a:moveTo>
                  <a:pt x="0" y="0"/>
                </a:moveTo>
                <a:lnTo>
                  <a:pt x="438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04" name="Oval 141">
            <a:extLst>
              <a:ext uri="{FF2B5EF4-FFF2-40B4-BE49-F238E27FC236}">
                <a16:creationId xmlns:a16="http://schemas.microsoft.com/office/drawing/2014/main" xmlns="" id="{9D89E24E-2860-4464-820D-108A7957BC65}"/>
              </a:ext>
            </a:extLst>
          </xdr:cNvPr>
          <xdr:cNvSpPr>
            <a:spLocks noChangeArrowheads="1"/>
          </xdr:cNvSpPr>
        </xdr:nvSpPr>
        <xdr:spPr bwMode="auto">
          <a:xfrm>
            <a:off x="2926514" y="4455464"/>
            <a:ext cx="297450" cy="297363"/>
          </a:xfrm>
          <a:prstGeom prst="ellipse">
            <a:avLst/>
          </a:prstGeom>
          <a:solidFill>
            <a:srgbClr val="FFFFFF"/>
          </a:solidFill>
          <a:ln w="6350">
            <a:solidFill>
              <a:srgbClr val="000000"/>
            </a:solidFill>
            <a:round/>
            <a:headEnd/>
            <a:tailEnd/>
          </a:ln>
        </xdr:spPr>
      </xdr:sp>
      <xdr:sp macro="" textlink="">
        <xdr:nvSpPr>
          <xdr:cNvPr id="705" name="Oval 140">
            <a:extLst>
              <a:ext uri="{FF2B5EF4-FFF2-40B4-BE49-F238E27FC236}">
                <a16:creationId xmlns:a16="http://schemas.microsoft.com/office/drawing/2014/main" xmlns="" id="{323314F9-AE2E-4F19-989E-7CFA2908F461}"/>
              </a:ext>
            </a:extLst>
          </xdr:cNvPr>
          <xdr:cNvSpPr>
            <a:spLocks noChangeArrowheads="1"/>
          </xdr:cNvSpPr>
        </xdr:nvSpPr>
        <xdr:spPr bwMode="auto">
          <a:xfrm>
            <a:off x="3377137" y="4455464"/>
            <a:ext cx="296640" cy="297363"/>
          </a:xfrm>
          <a:prstGeom prst="ellipse">
            <a:avLst/>
          </a:prstGeom>
          <a:solidFill>
            <a:srgbClr val="FFFFFF"/>
          </a:solidFill>
          <a:ln w="6350">
            <a:solidFill>
              <a:srgbClr val="000000"/>
            </a:solidFill>
            <a:round/>
            <a:headEnd/>
            <a:tailEnd/>
          </a:ln>
        </xdr:spPr>
      </xdr:sp>
      <xdr:sp macro="" textlink="">
        <xdr:nvSpPr>
          <xdr:cNvPr id="706" name="Oval 139">
            <a:extLst>
              <a:ext uri="{FF2B5EF4-FFF2-40B4-BE49-F238E27FC236}">
                <a16:creationId xmlns:a16="http://schemas.microsoft.com/office/drawing/2014/main" xmlns="" id="{190CCDF5-3C1C-4A8A-B8F5-051A638EAD40}"/>
              </a:ext>
            </a:extLst>
          </xdr:cNvPr>
          <xdr:cNvSpPr>
            <a:spLocks noChangeArrowheads="1"/>
          </xdr:cNvSpPr>
        </xdr:nvSpPr>
        <xdr:spPr bwMode="auto">
          <a:xfrm>
            <a:off x="3826951" y="4455464"/>
            <a:ext cx="296639" cy="297363"/>
          </a:xfrm>
          <a:prstGeom prst="ellipse">
            <a:avLst/>
          </a:prstGeom>
          <a:solidFill>
            <a:srgbClr val="FFFFFF"/>
          </a:solidFill>
          <a:ln w="6350">
            <a:solidFill>
              <a:srgbClr val="000000"/>
            </a:solidFill>
            <a:round/>
            <a:headEnd/>
            <a:tailEnd/>
          </a:ln>
        </xdr:spPr>
      </xdr:sp>
      <xdr:sp macro="" textlink="">
        <xdr:nvSpPr>
          <xdr:cNvPr id="707" name="Oval 138">
            <a:extLst>
              <a:ext uri="{FF2B5EF4-FFF2-40B4-BE49-F238E27FC236}">
                <a16:creationId xmlns:a16="http://schemas.microsoft.com/office/drawing/2014/main" xmlns="" id="{72CF5A2A-779E-4585-B016-9B3B06428C71}"/>
              </a:ext>
            </a:extLst>
          </xdr:cNvPr>
          <xdr:cNvSpPr>
            <a:spLocks noChangeArrowheads="1"/>
          </xdr:cNvSpPr>
        </xdr:nvSpPr>
        <xdr:spPr bwMode="auto">
          <a:xfrm>
            <a:off x="2027524" y="4455464"/>
            <a:ext cx="296639" cy="297363"/>
          </a:xfrm>
          <a:prstGeom prst="ellipse">
            <a:avLst/>
          </a:prstGeom>
          <a:solidFill>
            <a:srgbClr val="FFFFFF"/>
          </a:solidFill>
          <a:ln w="6350">
            <a:solidFill>
              <a:srgbClr val="000000"/>
            </a:solidFill>
            <a:round/>
            <a:headEnd/>
            <a:tailEnd/>
          </a:ln>
        </xdr:spPr>
      </xdr:sp>
      <xdr:sp macro="" textlink="">
        <xdr:nvSpPr>
          <xdr:cNvPr id="708" name="Oval 137">
            <a:extLst>
              <a:ext uri="{FF2B5EF4-FFF2-40B4-BE49-F238E27FC236}">
                <a16:creationId xmlns:a16="http://schemas.microsoft.com/office/drawing/2014/main" xmlns="" id="{AAB89D63-4E2B-4105-9128-9CD348D6FF87}"/>
              </a:ext>
            </a:extLst>
          </xdr:cNvPr>
          <xdr:cNvSpPr>
            <a:spLocks noChangeArrowheads="1"/>
          </xdr:cNvSpPr>
        </xdr:nvSpPr>
        <xdr:spPr bwMode="auto">
          <a:xfrm>
            <a:off x="2476701" y="4455464"/>
            <a:ext cx="296639" cy="297363"/>
          </a:xfrm>
          <a:prstGeom prst="ellipse">
            <a:avLst/>
          </a:prstGeom>
          <a:solidFill>
            <a:srgbClr val="FFFFFF"/>
          </a:solidFill>
          <a:ln w="6350">
            <a:solidFill>
              <a:srgbClr val="000000"/>
            </a:solidFill>
            <a:round/>
            <a:headEnd/>
            <a:tailEnd/>
          </a:ln>
        </xdr:spPr>
      </xdr:sp>
      <xdr:sp macro="" textlink="">
        <xdr:nvSpPr>
          <xdr:cNvPr id="709" name="Arc 136">
            <a:extLst>
              <a:ext uri="{FF2B5EF4-FFF2-40B4-BE49-F238E27FC236}">
                <a16:creationId xmlns:a16="http://schemas.microsoft.com/office/drawing/2014/main" xmlns="" id="{AFF7EEEC-BB26-4733-9FAC-4964481EB2B1}"/>
              </a:ext>
            </a:extLst>
          </xdr:cNvPr>
          <xdr:cNvSpPr>
            <a:spLocks/>
          </xdr:cNvSpPr>
        </xdr:nvSpPr>
        <xdr:spPr bwMode="auto">
          <a:xfrm>
            <a:off x="1683677" y="4455464"/>
            <a:ext cx="190673" cy="297363"/>
          </a:xfrm>
          <a:custGeom>
            <a:avLst/>
            <a:gdLst>
              <a:gd name="G0" fmla="+- 6055 0 0"/>
              <a:gd name="G1" fmla="+- 21600 0 0"/>
              <a:gd name="G2" fmla="+- 21600 0 0"/>
              <a:gd name="T0" fmla="*/ 0 w 27655"/>
              <a:gd name="T1" fmla="*/ 866 h 43200"/>
              <a:gd name="T2" fmla="*/ 36 w 27655"/>
              <a:gd name="T3" fmla="*/ 42345 h 43200"/>
              <a:gd name="T4" fmla="*/ 6055 w 27655"/>
              <a:gd name="T5" fmla="*/ 21600 h 43200"/>
            </a:gdLst>
            <a:ahLst/>
            <a:cxnLst>
              <a:cxn ang="0">
                <a:pos x="T0" y="T1"/>
              </a:cxn>
              <a:cxn ang="0">
                <a:pos x="T2" y="T3"/>
              </a:cxn>
              <a:cxn ang="0">
                <a:pos x="T4" y="T5"/>
              </a:cxn>
            </a:cxnLst>
            <a:rect l="0" t="0" r="r" b="b"/>
            <a:pathLst>
              <a:path w="27655" h="43200" fill="none" extrusionOk="0">
                <a:moveTo>
                  <a:pt x="0" y="866"/>
                </a:moveTo>
                <a:cubicBezTo>
                  <a:pt x="1967" y="291"/>
                  <a:pt x="4005" y="0"/>
                  <a:pt x="6055" y="0"/>
                </a:cubicBezTo>
                <a:cubicBezTo>
                  <a:pt x="17984" y="0"/>
                  <a:pt x="27655" y="9670"/>
                  <a:pt x="27655" y="21600"/>
                </a:cubicBezTo>
                <a:cubicBezTo>
                  <a:pt x="27655" y="33529"/>
                  <a:pt x="17984" y="43200"/>
                  <a:pt x="6055" y="43200"/>
                </a:cubicBezTo>
                <a:cubicBezTo>
                  <a:pt x="4018" y="43199"/>
                  <a:pt x="1992" y="42911"/>
                  <a:pt x="36" y="42344"/>
                </a:cubicBezTo>
              </a:path>
              <a:path w="27655" h="43200" stroke="0" extrusionOk="0">
                <a:moveTo>
                  <a:pt x="0" y="866"/>
                </a:moveTo>
                <a:cubicBezTo>
                  <a:pt x="1967" y="291"/>
                  <a:pt x="4005" y="0"/>
                  <a:pt x="6055" y="0"/>
                </a:cubicBezTo>
                <a:cubicBezTo>
                  <a:pt x="17984" y="0"/>
                  <a:pt x="27655" y="9670"/>
                  <a:pt x="27655" y="21600"/>
                </a:cubicBezTo>
                <a:cubicBezTo>
                  <a:pt x="27655" y="33529"/>
                  <a:pt x="17984" y="43200"/>
                  <a:pt x="6055" y="43200"/>
                </a:cubicBezTo>
                <a:cubicBezTo>
                  <a:pt x="4018" y="43199"/>
                  <a:pt x="1992" y="42911"/>
                  <a:pt x="36" y="42344"/>
                </a:cubicBezTo>
                <a:lnTo>
                  <a:pt x="6055" y="21600"/>
                </a:lnTo>
                <a:close/>
              </a:path>
            </a:pathLst>
          </a:custGeom>
          <a:solidFill>
            <a:srgbClr val="FFFFFF"/>
          </a:solidFill>
          <a:ln w="6350">
            <a:solidFill>
              <a:srgbClr val="000000"/>
            </a:solidFill>
            <a:round/>
            <a:headEnd/>
            <a:tailEnd/>
          </a:ln>
        </xdr:spPr>
      </xdr:sp>
      <xdr:sp macro="" textlink="">
        <xdr:nvSpPr>
          <xdr:cNvPr id="710" name="Arc 135">
            <a:extLst>
              <a:ext uri="{FF2B5EF4-FFF2-40B4-BE49-F238E27FC236}">
                <a16:creationId xmlns:a16="http://schemas.microsoft.com/office/drawing/2014/main" xmlns="" id="{4489AE65-1DFD-487F-B5E3-9C07E908443C}"/>
              </a:ext>
            </a:extLst>
          </xdr:cNvPr>
          <xdr:cNvSpPr>
            <a:spLocks/>
          </xdr:cNvSpPr>
        </xdr:nvSpPr>
        <xdr:spPr bwMode="auto">
          <a:xfrm>
            <a:off x="4276128" y="4455464"/>
            <a:ext cx="191309" cy="297363"/>
          </a:xfrm>
          <a:custGeom>
            <a:avLst/>
            <a:gdLst>
              <a:gd name="G0" fmla="+- 21600 0 0"/>
              <a:gd name="G1" fmla="+- 21600 0 0"/>
              <a:gd name="G2" fmla="+- 21600 0 0"/>
              <a:gd name="T0" fmla="*/ 27732 w 27770"/>
              <a:gd name="T1" fmla="*/ 42311 h 43200"/>
              <a:gd name="T2" fmla="*/ 27770 w 27770"/>
              <a:gd name="T3" fmla="*/ 900 h 43200"/>
              <a:gd name="T4" fmla="*/ 21600 w 27770"/>
              <a:gd name="T5" fmla="*/ 21600 h 43200"/>
            </a:gdLst>
            <a:ahLst/>
            <a:cxnLst>
              <a:cxn ang="0">
                <a:pos x="T0" y="T1"/>
              </a:cxn>
              <a:cxn ang="0">
                <a:pos x="T2" y="T3"/>
              </a:cxn>
              <a:cxn ang="0">
                <a:pos x="T4" y="T5"/>
              </a:cxn>
            </a:cxnLst>
            <a:rect l="0" t="0" r="r" b="b"/>
            <a:pathLst>
              <a:path w="27770" h="43200" fill="none" extrusionOk="0">
                <a:moveTo>
                  <a:pt x="27732" y="42311"/>
                </a:moveTo>
                <a:cubicBezTo>
                  <a:pt x="25741" y="42900"/>
                  <a:pt x="23676" y="43199"/>
                  <a:pt x="21600" y="43199"/>
                </a:cubicBezTo>
                <a:cubicBezTo>
                  <a:pt x="9670" y="43200"/>
                  <a:pt x="0" y="33529"/>
                  <a:pt x="0" y="21600"/>
                </a:cubicBezTo>
                <a:cubicBezTo>
                  <a:pt x="0" y="9670"/>
                  <a:pt x="9670" y="0"/>
                  <a:pt x="21600" y="0"/>
                </a:cubicBezTo>
                <a:cubicBezTo>
                  <a:pt x="23689" y="0"/>
                  <a:pt x="25767" y="303"/>
                  <a:pt x="27770" y="899"/>
                </a:cubicBezTo>
              </a:path>
              <a:path w="27770" h="43200" stroke="0" extrusionOk="0">
                <a:moveTo>
                  <a:pt x="27732" y="42311"/>
                </a:moveTo>
                <a:cubicBezTo>
                  <a:pt x="25741" y="42900"/>
                  <a:pt x="23676" y="43199"/>
                  <a:pt x="21600" y="43199"/>
                </a:cubicBezTo>
                <a:cubicBezTo>
                  <a:pt x="9670" y="43200"/>
                  <a:pt x="0" y="33529"/>
                  <a:pt x="0" y="21600"/>
                </a:cubicBezTo>
                <a:cubicBezTo>
                  <a:pt x="0" y="9670"/>
                  <a:pt x="9670" y="0"/>
                  <a:pt x="21600" y="0"/>
                </a:cubicBezTo>
                <a:cubicBezTo>
                  <a:pt x="23689" y="0"/>
                  <a:pt x="25767" y="303"/>
                  <a:pt x="27770" y="899"/>
                </a:cubicBezTo>
                <a:lnTo>
                  <a:pt x="21600" y="21600"/>
                </a:lnTo>
                <a:close/>
              </a:path>
            </a:pathLst>
          </a:custGeom>
          <a:solidFill>
            <a:srgbClr val="FFFFFF"/>
          </a:solidFill>
          <a:ln w="6350">
            <a:solidFill>
              <a:srgbClr val="000000"/>
            </a:solidFill>
            <a:round/>
            <a:headEnd/>
            <a:tailEnd/>
          </a:ln>
        </xdr:spPr>
      </xdr:sp>
      <xdr:sp macro="" textlink="">
        <xdr:nvSpPr>
          <xdr:cNvPr id="711" name="Freeform 134">
            <a:extLst>
              <a:ext uri="{FF2B5EF4-FFF2-40B4-BE49-F238E27FC236}">
                <a16:creationId xmlns:a16="http://schemas.microsoft.com/office/drawing/2014/main" xmlns="" id="{76614B67-7787-4EEA-ACF1-107608378A04}"/>
              </a:ext>
            </a:extLst>
          </xdr:cNvPr>
          <xdr:cNvSpPr>
            <a:spLocks/>
          </xdr:cNvSpPr>
        </xdr:nvSpPr>
        <xdr:spPr bwMode="auto">
          <a:xfrm>
            <a:off x="3000876" y="4305069"/>
            <a:ext cx="599174" cy="601071"/>
          </a:xfrm>
          <a:custGeom>
            <a:avLst/>
            <a:gdLst>
              <a:gd name="T0" fmla="*/ 0 w 944"/>
              <a:gd name="T1" fmla="*/ 944 h 944"/>
              <a:gd name="T2" fmla="*/ 944 w 944"/>
              <a:gd name="T3" fmla="*/ 0 h 944"/>
              <a:gd name="T4" fmla="*/ 944 w 944"/>
              <a:gd name="T5" fmla="*/ 0 h 944"/>
            </a:gdLst>
            <a:ahLst/>
            <a:cxnLst>
              <a:cxn ang="0">
                <a:pos x="T0" y="T1"/>
              </a:cxn>
              <a:cxn ang="0">
                <a:pos x="T2" y="T3"/>
              </a:cxn>
              <a:cxn ang="0">
                <a:pos x="T4" y="T5"/>
              </a:cxn>
            </a:cxnLst>
            <a:rect l="0" t="0" r="r" b="b"/>
            <a:pathLst>
              <a:path w="944" h="944">
                <a:moveTo>
                  <a:pt x="0" y="944"/>
                </a:moveTo>
                <a:lnTo>
                  <a:pt x="94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2" name="Freeform 133">
            <a:extLst>
              <a:ext uri="{FF2B5EF4-FFF2-40B4-BE49-F238E27FC236}">
                <a16:creationId xmlns:a16="http://schemas.microsoft.com/office/drawing/2014/main" xmlns="" id="{6972C121-8CDC-434A-8A7D-06885C6E3655}"/>
              </a:ext>
            </a:extLst>
          </xdr:cNvPr>
          <xdr:cNvSpPr>
            <a:spLocks/>
          </xdr:cNvSpPr>
        </xdr:nvSpPr>
        <xdr:spPr bwMode="auto">
          <a:xfrm>
            <a:off x="1684312" y="4906140"/>
            <a:ext cx="2784396" cy="635"/>
          </a:xfrm>
          <a:custGeom>
            <a:avLst/>
            <a:gdLst>
              <a:gd name="T0" fmla="*/ 4386 w 4386"/>
              <a:gd name="T1" fmla="*/ 0 w 4386"/>
              <a:gd name="T2" fmla="*/ 0 w 4386"/>
            </a:gdLst>
            <a:ahLst/>
            <a:cxnLst>
              <a:cxn ang="0">
                <a:pos x="T0" y="0"/>
              </a:cxn>
              <a:cxn ang="0">
                <a:pos x="T1" y="0"/>
              </a:cxn>
              <a:cxn ang="0">
                <a:pos x="T2" y="0"/>
              </a:cxn>
            </a:cxnLst>
            <a:rect l="0" t="0" r="r" b="b"/>
            <a:pathLst>
              <a:path w="4386">
                <a:moveTo>
                  <a:pt x="4386" y="0"/>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3" name="Freeform 132">
            <a:extLst>
              <a:ext uri="{FF2B5EF4-FFF2-40B4-BE49-F238E27FC236}">
                <a16:creationId xmlns:a16="http://schemas.microsoft.com/office/drawing/2014/main" xmlns="" id="{D2E13319-22DA-4212-9EF4-CD1DB3F0B552}"/>
              </a:ext>
            </a:extLst>
          </xdr:cNvPr>
          <xdr:cNvSpPr>
            <a:spLocks/>
          </xdr:cNvSpPr>
        </xdr:nvSpPr>
        <xdr:spPr bwMode="auto">
          <a:xfrm>
            <a:off x="4187783" y="4737597"/>
            <a:ext cx="168428" cy="168542"/>
          </a:xfrm>
          <a:custGeom>
            <a:avLst/>
            <a:gdLst>
              <a:gd name="T0" fmla="*/ 0 w 265"/>
              <a:gd name="T1" fmla="*/ 264 h 264"/>
              <a:gd name="T2" fmla="*/ 265 w 265"/>
              <a:gd name="T3" fmla="*/ 0 h 264"/>
              <a:gd name="T4" fmla="*/ 265 w 265"/>
              <a:gd name="T5" fmla="*/ 0 h 264"/>
            </a:gdLst>
            <a:ahLst/>
            <a:cxnLst>
              <a:cxn ang="0">
                <a:pos x="T0" y="T1"/>
              </a:cxn>
              <a:cxn ang="0">
                <a:pos x="T2" y="T3"/>
              </a:cxn>
              <a:cxn ang="0">
                <a:pos x="T4" y="T5"/>
              </a:cxn>
            </a:cxnLst>
            <a:rect l="0" t="0" r="r" b="b"/>
            <a:pathLst>
              <a:path w="265" h="264">
                <a:moveTo>
                  <a:pt x="0" y="264"/>
                </a:moveTo>
                <a:lnTo>
                  <a:pt x="26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4" name="Freeform 131">
            <a:extLst>
              <a:ext uri="{FF2B5EF4-FFF2-40B4-BE49-F238E27FC236}">
                <a16:creationId xmlns:a16="http://schemas.microsoft.com/office/drawing/2014/main" xmlns="" id="{8A2DD5D1-150F-46D0-A9E2-20B097F919A3}"/>
              </a:ext>
            </a:extLst>
          </xdr:cNvPr>
          <xdr:cNvSpPr>
            <a:spLocks/>
          </xdr:cNvSpPr>
        </xdr:nvSpPr>
        <xdr:spPr bwMode="auto">
          <a:xfrm>
            <a:off x="4171258" y="4731886"/>
            <a:ext cx="173512" cy="174253"/>
          </a:xfrm>
          <a:custGeom>
            <a:avLst/>
            <a:gdLst>
              <a:gd name="T0" fmla="*/ 0 w 273"/>
              <a:gd name="T1" fmla="*/ 273 h 273"/>
              <a:gd name="T2" fmla="*/ 273 w 273"/>
              <a:gd name="T3" fmla="*/ 0 h 273"/>
              <a:gd name="T4" fmla="*/ 273 w 273"/>
              <a:gd name="T5" fmla="*/ 0 h 273"/>
            </a:gdLst>
            <a:ahLst/>
            <a:cxnLst>
              <a:cxn ang="0">
                <a:pos x="T0" y="T1"/>
              </a:cxn>
              <a:cxn ang="0">
                <a:pos x="T2" y="T3"/>
              </a:cxn>
              <a:cxn ang="0">
                <a:pos x="T4" y="T5"/>
              </a:cxn>
            </a:cxnLst>
            <a:rect l="0" t="0" r="r" b="b"/>
            <a:pathLst>
              <a:path w="273" h="273">
                <a:moveTo>
                  <a:pt x="0" y="273"/>
                </a:moveTo>
                <a:lnTo>
                  <a:pt x="27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5" name="Freeform 130">
            <a:extLst>
              <a:ext uri="{FF2B5EF4-FFF2-40B4-BE49-F238E27FC236}">
                <a16:creationId xmlns:a16="http://schemas.microsoft.com/office/drawing/2014/main" xmlns="" id="{BDFB080D-0F69-4A67-98F1-941F6B224C85}"/>
              </a:ext>
            </a:extLst>
          </xdr:cNvPr>
          <xdr:cNvSpPr>
            <a:spLocks/>
          </xdr:cNvSpPr>
        </xdr:nvSpPr>
        <xdr:spPr bwMode="auto">
          <a:xfrm>
            <a:off x="4154098" y="4724271"/>
            <a:ext cx="181139" cy="181868"/>
          </a:xfrm>
          <a:custGeom>
            <a:avLst/>
            <a:gdLst>
              <a:gd name="T0" fmla="*/ 0 w 285"/>
              <a:gd name="T1" fmla="*/ 285 h 285"/>
              <a:gd name="T2" fmla="*/ 285 w 285"/>
              <a:gd name="T3" fmla="*/ 0 h 285"/>
              <a:gd name="T4" fmla="*/ 285 w 285"/>
              <a:gd name="T5" fmla="*/ 0 h 285"/>
            </a:gdLst>
            <a:ahLst/>
            <a:cxnLst>
              <a:cxn ang="0">
                <a:pos x="T0" y="T1"/>
              </a:cxn>
              <a:cxn ang="0">
                <a:pos x="T2" y="T3"/>
              </a:cxn>
              <a:cxn ang="0">
                <a:pos x="T4" y="T5"/>
              </a:cxn>
            </a:cxnLst>
            <a:rect l="0" t="0" r="r" b="b"/>
            <a:pathLst>
              <a:path w="285" h="285">
                <a:moveTo>
                  <a:pt x="0" y="285"/>
                </a:moveTo>
                <a:lnTo>
                  <a:pt x="28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6" name="Freeform 129">
            <a:extLst>
              <a:ext uri="{FF2B5EF4-FFF2-40B4-BE49-F238E27FC236}">
                <a16:creationId xmlns:a16="http://schemas.microsoft.com/office/drawing/2014/main" xmlns="" id="{9527B652-F7BB-4E60-A87A-261E04C6C256}"/>
              </a:ext>
            </a:extLst>
          </xdr:cNvPr>
          <xdr:cNvSpPr>
            <a:spLocks/>
          </xdr:cNvSpPr>
        </xdr:nvSpPr>
        <xdr:spPr bwMode="auto">
          <a:xfrm>
            <a:off x="3611491" y="4674139"/>
            <a:ext cx="231350" cy="232000"/>
          </a:xfrm>
          <a:custGeom>
            <a:avLst/>
            <a:gdLst>
              <a:gd name="T0" fmla="*/ 0 w 364"/>
              <a:gd name="T1" fmla="*/ 364 h 364"/>
              <a:gd name="T2" fmla="*/ 364 w 364"/>
              <a:gd name="T3" fmla="*/ 0 h 364"/>
              <a:gd name="T4" fmla="*/ 364 w 364"/>
              <a:gd name="T5" fmla="*/ 0 h 364"/>
            </a:gdLst>
            <a:ahLst/>
            <a:cxnLst>
              <a:cxn ang="0">
                <a:pos x="T0" y="T1"/>
              </a:cxn>
              <a:cxn ang="0">
                <a:pos x="T2" y="T3"/>
              </a:cxn>
              <a:cxn ang="0">
                <a:pos x="T4" y="T5"/>
              </a:cxn>
            </a:cxnLst>
            <a:rect l="0" t="0" r="r" b="b"/>
            <a:pathLst>
              <a:path w="364" h="364">
                <a:moveTo>
                  <a:pt x="0" y="364"/>
                </a:moveTo>
                <a:lnTo>
                  <a:pt x="36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7" name="Freeform 128">
            <a:extLst>
              <a:ext uri="{FF2B5EF4-FFF2-40B4-BE49-F238E27FC236}">
                <a16:creationId xmlns:a16="http://schemas.microsoft.com/office/drawing/2014/main" xmlns="" id="{69D2A6A4-9085-4D3F-9FA6-0B1A7BF05574}"/>
              </a:ext>
            </a:extLst>
          </xdr:cNvPr>
          <xdr:cNvSpPr>
            <a:spLocks/>
          </xdr:cNvSpPr>
        </xdr:nvSpPr>
        <xdr:spPr bwMode="auto">
          <a:xfrm>
            <a:off x="4044954" y="4305069"/>
            <a:ext cx="166346" cy="166260"/>
          </a:xfrm>
          <a:custGeom>
            <a:avLst/>
            <a:gdLst>
              <a:gd name="T0" fmla="*/ 0 w 263"/>
              <a:gd name="T1" fmla="*/ 262 h 262"/>
              <a:gd name="T2" fmla="*/ 263 w 263"/>
              <a:gd name="T3" fmla="*/ 0 h 262"/>
              <a:gd name="T4" fmla="*/ 263 w 263"/>
              <a:gd name="T5" fmla="*/ 0 h 262"/>
            </a:gdLst>
            <a:ahLst/>
            <a:cxnLst>
              <a:cxn ang="0">
                <a:pos x="T0" y="T1"/>
              </a:cxn>
              <a:cxn ang="0">
                <a:pos x="T2" y="T3"/>
              </a:cxn>
              <a:cxn ang="0">
                <a:pos x="T4" y="T5"/>
              </a:cxn>
            </a:cxnLst>
            <a:rect l="0" t="0" r="r" b="b"/>
            <a:pathLst>
              <a:path w="263" h="262">
                <a:moveTo>
                  <a:pt x="0" y="262"/>
                </a:moveTo>
                <a:lnTo>
                  <a:pt x="26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8" name="Freeform 127">
            <a:extLst>
              <a:ext uri="{FF2B5EF4-FFF2-40B4-BE49-F238E27FC236}">
                <a16:creationId xmlns:a16="http://schemas.microsoft.com/office/drawing/2014/main" xmlns="" id="{82CE9A30-B2F4-48A1-ABCD-28D7D89AA914}"/>
              </a:ext>
            </a:extLst>
          </xdr:cNvPr>
          <xdr:cNvSpPr>
            <a:spLocks/>
          </xdr:cNvSpPr>
        </xdr:nvSpPr>
        <xdr:spPr bwMode="auto">
          <a:xfrm>
            <a:off x="3594330" y="4662082"/>
            <a:ext cx="243426" cy="244057"/>
          </a:xfrm>
          <a:custGeom>
            <a:avLst/>
            <a:gdLst>
              <a:gd name="T0" fmla="*/ 0 w 383"/>
              <a:gd name="T1" fmla="*/ 383 h 383"/>
              <a:gd name="T2" fmla="*/ 383 w 383"/>
              <a:gd name="T3" fmla="*/ 0 h 383"/>
              <a:gd name="T4" fmla="*/ 383 w 383"/>
              <a:gd name="T5" fmla="*/ 0 h 383"/>
            </a:gdLst>
            <a:ahLst/>
            <a:cxnLst>
              <a:cxn ang="0">
                <a:pos x="T0" y="T1"/>
              </a:cxn>
              <a:cxn ang="0">
                <a:pos x="T2" y="T3"/>
              </a:cxn>
              <a:cxn ang="0">
                <a:pos x="T4" y="T5"/>
              </a:cxn>
            </a:cxnLst>
            <a:rect l="0" t="0" r="r" b="b"/>
            <a:pathLst>
              <a:path w="383" h="383">
                <a:moveTo>
                  <a:pt x="0" y="383"/>
                </a:moveTo>
                <a:lnTo>
                  <a:pt x="38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9" name="Freeform 126">
            <a:extLst>
              <a:ext uri="{FF2B5EF4-FFF2-40B4-BE49-F238E27FC236}">
                <a16:creationId xmlns:a16="http://schemas.microsoft.com/office/drawing/2014/main" xmlns="" id="{46186177-FD1C-43CD-BAEA-754B8023457F}"/>
              </a:ext>
            </a:extLst>
          </xdr:cNvPr>
          <xdr:cNvSpPr>
            <a:spLocks/>
          </xdr:cNvSpPr>
        </xdr:nvSpPr>
        <xdr:spPr bwMode="auto">
          <a:xfrm>
            <a:off x="4033513" y="4305069"/>
            <a:ext cx="160625" cy="161183"/>
          </a:xfrm>
          <a:custGeom>
            <a:avLst/>
            <a:gdLst>
              <a:gd name="T0" fmla="*/ 0 w 254"/>
              <a:gd name="T1" fmla="*/ 254 h 254"/>
              <a:gd name="T2" fmla="*/ 254 w 254"/>
              <a:gd name="T3" fmla="*/ 0 h 254"/>
              <a:gd name="T4" fmla="*/ 254 w 254"/>
              <a:gd name="T5" fmla="*/ 0 h 254"/>
            </a:gdLst>
            <a:ahLst/>
            <a:cxnLst>
              <a:cxn ang="0">
                <a:pos x="T0" y="T1"/>
              </a:cxn>
              <a:cxn ang="0">
                <a:pos x="T2" y="T3"/>
              </a:cxn>
              <a:cxn ang="0">
                <a:pos x="T4" y="T5"/>
              </a:cxn>
            </a:cxnLst>
            <a:rect l="0" t="0" r="r" b="b"/>
            <a:pathLst>
              <a:path w="254" h="254">
                <a:moveTo>
                  <a:pt x="0" y="254"/>
                </a:moveTo>
                <a:lnTo>
                  <a:pt x="25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0" name="Freeform 125">
            <a:extLst>
              <a:ext uri="{FF2B5EF4-FFF2-40B4-BE49-F238E27FC236}">
                <a16:creationId xmlns:a16="http://schemas.microsoft.com/office/drawing/2014/main" xmlns="" id="{22761B5A-8F68-4B43-9E79-3E1729CF79EA}"/>
              </a:ext>
            </a:extLst>
          </xdr:cNvPr>
          <xdr:cNvSpPr>
            <a:spLocks/>
          </xdr:cNvSpPr>
        </xdr:nvSpPr>
        <xdr:spPr bwMode="auto">
          <a:xfrm>
            <a:off x="3577169" y="4650025"/>
            <a:ext cx="256137" cy="256114"/>
          </a:xfrm>
          <a:custGeom>
            <a:avLst/>
            <a:gdLst>
              <a:gd name="T0" fmla="*/ 0 w 403"/>
              <a:gd name="T1" fmla="*/ 402 h 402"/>
              <a:gd name="T2" fmla="*/ 403 w 403"/>
              <a:gd name="T3" fmla="*/ 0 h 402"/>
              <a:gd name="T4" fmla="*/ 403 w 403"/>
              <a:gd name="T5" fmla="*/ 0 h 402"/>
            </a:gdLst>
            <a:ahLst/>
            <a:cxnLst>
              <a:cxn ang="0">
                <a:pos x="T0" y="T1"/>
              </a:cxn>
              <a:cxn ang="0">
                <a:pos x="T2" y="T3"/>
              </a:cxn>
              <a:cxn ang="0">
                <a:pos x="T4" y="T5"/>
              </a:cxn>
            </a:cxnLst>
            <a:rect l="0" t="0" r="r" b="b"/>
            <a:pathLst>
              <a:path w="403" h="402">
                <a:moveTo>
                  <a:pt x="0" y="402"/>
                </a:moveTo>
                <a:lnTo>
                  <a:pt x="40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1" name="Freeform 124">
            <a:extLst>
              <a:ext uri="{FF2B5EF4-FFF2-40B4-BE49-F238E27FC236}">
                <a16:creationId xmlns:a16="http://schemas.microsoft.com/office/drawing/2014/main" xmlns="" id="{3FE4D827-CB59-47E8-B4BD-15F05AA32474}"/>
              </a:ext>
            </a:extLst>
          </xdr:cNvPr>
          <xdr:cNvSpPr>
            <a:spLocks/>
          </xdr:cNvSpPr>
        </xdr:nvSpPr>
        <xdr:spPr bwMode="auto">
          <a:xfrm>
            <a:off x="4020802" y="4305069"/>
            <a:ext cx="156176" cy="156741"/>
          </a:xfrm>
          <a:custGeom>
            <a:avLst/>
            <a:gdLst>
              <a:gd name="T0" fmla="*/ 0 w 247"/>
              <a:gd name="T1" fmla="*/ 247 h 247"/>
              <a:gd name="T2" fmla="*/ 247 w 247"/>
              <a:gd name="T3" fmla="*/ 0 h 247"/>
              <a:gd name="T4" fmla="*/ 247 w 247"/>
              <a:gd name="T5" fmla="*/ 0 h 247"/>
            </a:gdLst>
            <a:ahLst/>
            <a:cxnLst>
              <a:cxn ang="0">
                <a:pos x="T0" y="T1"/>
              </a:cxn>
              <a:cxn ang="0">
                <a:pos x="T2" y="T3"/>
              </a:cxn>
              <a:cxn ang="0">
                <a:pos x="T4" y="T5"/>
              </a:cxn>
            </a:cxnLst>
            <a:rect l="0" t="0" r="r" b="b"/>
            <a:pathLst>
              <a:path w="247" h="247">
                <a:moveTo>
                  <a:pt x="0" y="247"/>
                </a:moveTo>
                <a:lnTo>
                  <a:pt x="24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2" name="Freeform 123">
            <a:extLst>
              <a:ext uri="{FF2B5EF4-FFF2-40B4-BE49-F238E27FC236}">
                <a16:creationId xmlns:a16="http://schemas.microsoft.com/office/drawing/2014/main" xmlns="" id="{382CA61C-EF74-4E3D-95FD-0A888BD4A90B}"/>
              </a:ext>
            </a:extLst>
          </xdr:cNvPr>
          <xdr:cNvSpPr>
            <a:spLocks/>
          </xdr:cNvSpPr>
        </xdr:nvSpPr>
        <xdr:spPr bwMode="auto">
          <a:xfrm>
            <a:off x="3034562" y="4554838"/>
            <a:ext cx="351474" cy="351301"/>
          </a:xfrm>
          <a:custGeom>
            <a:avLst/>
            <a:gdLst>
              <a:gd name="T0" fmla="*/ 0 w 553"/>
              <a:gd name="T1" fmla="*/ 552 h 552"/>
              <a:gd name="T2" fmla="*/ 553 w 553"/>
              <a:gd name="T3" fmla="*/ 0 h 552"/>
              <a:gd name="T4" fmla="*/ 553 w 553"/>
              <a:gd name="T5" fmla="*/ 0 h 552"/>
            </a:gdLst>
            <a:ahLst/>
            <a:cxnLst>
              <a:cxn ang="0">
                <a:pos x="T0" y="T1"/>
              </a:cxn>
              <a:cxn ang="0">
                <a:pos x="T2" y="T3"/>
              </a:cxn>
              <a:cxn ang="0">
                <a:pos x="T4" y="T5"/>
              </a:cxn>
            </a:cxnLst>
            <a:rect l="0" t="0" r="r" b="b"/>
            <a:pathLst>
              <a:path w="553" h="552">
                <a:moveTo>
                  <a:pt x="0" y="552"/>
                </a:moveTo>
                <a:lnTo>
                  <a:pt x="55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3" name="Freeform 122">
            <a:extLst>
              <a:ext uri="{FF2B5EF4-FFF2-40B4-BE49-F238E27FC236}">
                <a16:creationId xmlns:a16="http://schemas.microsoft.com/office/drawing/2014/main" xmlns="" id="{529ADD88-96B2-4F69-ADAA-35E55011A75B}"/>
              </a:ext>
            </a:extLst>
          </xdr:cNvPr>
          <xdr:cNvSpPr>
            <a:spLocks/>
          </xdr:cNvSpPr>
        </xdr:nvSpPr>
        <xdr:spPr bwMode="auto">
          <a:xfrm>
            <a:off x="3475477" y="4305069"/>
            <a:ext cx="158894" cy="158645"/>
          </a:xfrm>
          <a:custGeom>
            <a:avLst/>
            <a:gdLst>
              <a:gd name="T0" fmla="*/ 0 w 250"/>
              <a:gd name="T1" fmla="*/ 250 h 250"/>
              <a:gd name="T2" fmla="*/ 250 w 250"/>
              <a:gd name="T3" fmla="*/ 0 h 250"/>
              <a:gd name="T4" fmla="*/ 250 w 250"/>
              <a:gd name="T5" fmla="*/ 0 h 250"/>
            </a:gdLst>
            <a:ahLst/>
            <a:cxnLst>
              <a:cxn ang="0">
                <a:pos x="T0" y="T1"/>
              </a:cxn>
              <a:cxn ang="0">
                <a:pos x="T2" y="T3"/>
              </a:cxn>
              <a:cxn ang="0">
                <a:pos x="T4" y="T5"/>
              </a:cxn>
            </a:cxnLst>
            <a:rect l="0" t="0" r="r" b="b"/>
            <a:pathLst>
              <a:path w="250" h="250">
                <a:moveTo>
                  <a:pt x="0" y="250"/>
                </a:moveTo>
                <a:lnTo>
                  <a:pt x="25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4" name="Freeform 121">
            <a:extLst>
              <a:ext uri="{FF2B5EF4-FFF2-40B4-BE49-F238E27FC236}">
                <a16:creationId xmlns:a16="http://schemas.microsoft.com/office/drawing/2014/main" xmlns="" id="{246D8DCC-331D-465F-908F-E4D2C8D33C03}"/>
              </a:ext>
            </a:extLst>
          </xdr:cNvPr>
          <xdr:cNvSpPr>
            <a:spLocks/>
          </xdr:cNvSpPr>
        </xdr:nvSpPr>
        <xdr:spPr bwMode="auto">
          <a:xfrm>
            <a:off x="3017401" y="4518288"/>
            <a:ext cx="387066" cy="387852"/>
          </a:xfrm>
          <a:custGeom>
            <a:avLst/>
            <a:gdLst>
              <a:gd name="T0" fmla="*/ 0 w 609"/>
              <a:gd name="T1" fmla="*/ 608 h 608"/>
              <a:gd name="T2" fmla="*/ 609 w 609"/>
              <a:gd name="T3" fmla="*/ 0 h 608"/>
              <a:gd name="T4" fmla="*/ 609 w 609"/>
              <a:gd name="T5" fmla="*/ 0 h 608"/>
            </a:gdLst>
            <a:ahLst/>
            <a:cxnLst>
              <a:cxn ang="0">
                <a:pos x="T0" y="T1"/>
              </a:cxn>
              <a:cxn ang="0">
                <a:pos x="T2" y="T3"/>
              </a:cxn>
              <a:cxn ang="0">
                <a:pos x="T4" y="T5"/>
              </a:cxn>
            </a:cxnLst>
            <a:rect l="0" t="0" r="r" b="b"/>
            <a:pathLst>
              <a:path w="609" h="608">
                <a:moveTo>
                  <a:pt x="0" y="608"/>
                </a:moveTo>
                <a:lnTo>
                  <a:pt x="609"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5" name="Freeform 120">
            <a:extLst>
              <a:ext uri="{FF2B5EF4-FFF2-40B4-BE49-F238E27FC236}">
                <a16:creationId xmlns:a16="http://schemas.microsoft.com/office/drawing/2014/main" xmlns="" id="{973F79A0-761C-4D11-AA51-49DA06026F51}"/>
              </a:ext>
            </a:extLst>
          </xdr:cNvPr>
          <xdr:cNvSpPr>
            <a:spLocks/>
          </xdr:cNvSpPr>
        </xdr:nvSpPr>
        <xdr:spPr bwMode="auto">
          <a:xfrm>
            <a:off x="3439885" y="4305069"/>
            <a:ext cx="177326" cy="177048"/>
          </a:xfrm>
          <a:custGeom>
            <a:avLst/>
            <a:gdLst>
              <a:gd name="T0" fmla="*/ 0 w 279"/>
              <a:gd name="T1" fmla="*/ 279 h 279"/>
              <a:gd name="T2" fmla="*/ 279 w 279"/>
              <a:gd name="T3" fmla="*/ 0 h 279"/>
              <a:gd name="T4" fmla="*/ 279 w 279"/>
              <a:gd name="T5" fmla="*/ 0 h 279"/>
            </a:gdLst>
            <a:ahLst/>
            <a:cxnLst>
              <a:cxn ang="0">
                <a:pos x="T0" y="T1"/>
              </a:cxn>
              <a:cxn ang="0">
                <a:pos x="T2" y="T3"/>
              </a:cxn>
              <a:cxn ang="0">
                <a:pos x="T4" y="T5"/>
              </a:cxn>
            </a:cxnLst>
            <a:rect l="0" t="0" r="r" b="b"/>
            <a:pathLst>
              <a:path w="279" h="279">
                <a:moveTo>
                  <a:pt x="0" y="279"/>
                </a:moveTo>
                <a:lnTo>
                  <a:pt x="279"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6" name="Freeform 119">
            <a:extLst>
              <a:ext uri="{FF2B5EF4-FFF2-40B4-BE49-F238E27FC236}">
                <a16:creationId xmlns:a16="http://schemas.microsoft.com/office/drawing/2014/main" xmlns="" id="{17252062-C656-46F6-A0FA-D95AEB81A15A}"/>
              </a:ext>
            </a:extLst>
          </xdr:cNvPr>
          <xdr:cNvSpPr>
            <a:spLocks/>
          </xdr:cNvSpPr>
        </xdr:nvSpPr>
        <xdr:spPr bwMode="auto">
          <a:xfrm>
            <a:off x="2457633" y="4754731"/>
            <a:ext cx="151267" cy="151409"/>
          </a:xfrm>
          <a:custGeom>
            <a:avLst/>
            <a:gdLst>
              <a:gd name="T0" fmla="*/ 0 w 238"/>
              <a:gd name="T1" fmla="*/ 237 h 237"/>
              <a:gd name="T2" fmla="*/ 238 w 238"/>
              <a:gd name="T3" fmla="*/ 0 h 237"/>
              <a:gd name="T4" fmla="*/ 238 w 238"/>
              <a:gd name="T5" fmla="*/ 0 h 237"/>
            </a:gdLst>
            <a:ahLst/>
            <a:cxnLst>
              <a:cxn ang="0">
                <a:pos x="T0" y="T1"/>
              </a:cxn>
              <a:cxn ang="0">
                <a:pos x="T2" y="T3"/>
              </a:cxn>
              <a:cxn ang="0">
                <a:pos x="T4" y="T5"/>
              </a:cxn>
            </a:cxnLst>
            <a:rect l="0" t="0" r="r" b="b"/>
            <a:pathLst>
              <a:path w="238" h="237">
                <a:moveTo>
                  <a:pt x="0" y="237"/>
                </a:moveTo>
                <a:lnTo>
                  <a:pt x="238"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7" name="Freeform 118">
            <a:extLst>
              <a:ext uri="{FF2B5EF4-FFF2-40B4-BE49-F238E27FC236}">
                <a16:creationId xmlns:a16="http://schemas.microsoft.com/office/drawing/2014/main" xmlns="" id="{886ABF2C-B108-4C2B-B2E7-C958606607E8}"/>
              </a:ext>
            </a:extLst>
          </xdr:cNvPr>
          <xdr:cNvSpPr>
            <a:spLocks/>
          </xdr:cNvSpPr>
        </xdr:nvSpPr>
        <xdr:spPr bwMode="auto">
          <a:xfrm>
            <a:off x="2775246" y="4305069"/>
            <a:ext cx="282196" cy="282768"/>
          </a:xfrm>
          <a:custGeom>
            <a:avLst/>
            <a:gdLst>
              <a:gd name="T0" fmla="*/ 0 w 444"/>
              <a:gd name="T1" fmla="*/ 444 h 444"/>
              <a:gd name="T2" fmla="*/ 444 w 444"/>
              <a:gd name="T3" fmla="*/ 0 h 444"/>
              <a:gd name="T4" fmla="*/ 444 w 444"/>
              <a:gd name="T5" fmla="*/ 0 h 444"/>
            </a:gdLst>
            <a:ahLst/>
            <a:cxnLst>
              <a:cxn ang="0">
                <a:pos x="T0" y="T1"/>
              </a:cxn>
              <a:cxn ang="0">
                <a:pos x="T2" y="T3"/>
              </a:cxn>
              <a:cxn ang="0">
                <a:pos x="T4" y="T5"/>
              </a:cxn>
            </a:cxnLst>
            <a:rect l="0" t="0" r="r" b="b"/>
            <a:pathLst>
              <a:path w="444" h="444">
                <a:moveTo>
                  <a:pt x="0" y="444"/>
                </a:moveTo>
                <a:lnTo>
                  <a:pt x="44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8" name="Freeform 117">
            <a:extLst>
              <a:ext uri="{FF2B5EF4-FFF2-40B4-BE49-F238E27FC236}">
                <a16:creationId xmlns:a16="http://schemas.microsoft.com/office/drawing/2014/main" xmlns="" id="{501CF9D1-91BD-42E2-A3FA-E7A0E17F5841}"/>
              </a:ext>
            </a:extLst>
          </xdr:cNvPr>
          <xdr:cNvSpPr>
            <a:spLocks/>
          </xdr:cNvSpPr>
        </xdr:nvSpPr>
        <xdr:spPr bwMode="auto">
          <a:xfrm>
            <a:off x="2440473" y="4752193"/>
            <a:ext cx="153810" cy="153947"/>
          </a:xfrm>
          <a:custGeom>
            <a:avLst/>
            <a:gdLst>
              <a:gd name="T0" fmla="*/ 0 w 242"/>
              <a:gd name="T1" fmla="*/ 241 h 241"/>
              <a:gd name="T2" fmla="*/ 242 w 242"/>
              <a:gd name="T3" fmla="*/ 0 h 241"/>
              <a:gd name="T4" fmla="*/ 242 w 242"/>
              <a:gd name="T5" fmla="*/ 0 h 241"/>
            </a:gdLst>
            <a:ahLst/>
            <a:cxnLst>
              <a:cxn ang="0">
                <a:pos x="T0" y="T1"/>
              </a:cxn>
              <a:cxn ang="0">
                <a:pos x="T2" y="T3"/>
              </a:cxn>
              <a:cxn ang="0">
                <a:pos x="T4" y="T5"/>
              </a:cxn>
            </a:cxnLst>
            <a:rect l="0" t="0" r="r" b="b"/>
            <a:pathLst>
              <a:path w="242" h="241">
                <a:moveTo>
                  <a:pt x="0" y="241"/>
                </a:moveTo>
                <a:lnTo>
                  <a:pt x="242"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9" name="Freeform 116">
            <a:extLst>
              <a:ext uri="{FF2B5EF4-FFF2-40B4-BE49-F238E27FC236}">
                <a16:creationId xmlns:a16="http://schemas.microsoft.com/office/drawing/2014/main" xmlns="" id="{4BA92146-7A29-4085-86CC-706F03E521C9}"/>
              </a:ext>
            </a:extLst>
          </xdr:cNvPr>
          <xdr:cNvSpPr>
            <a:spLocks/>
          </xdr:cNvSpPr>
        </xdr:nvSpPr>
        <xdr:spPr bwMode="auto">
          <a:xfrm>
            <a:off x="2772704" y="4305069"/>
            <a:ext cx="267578" cy="268172"/>
          </a:xfrm>
          <a:custGeom>
            <a:avLst/>
            <a:gdLst>
              <a:gd name="T0" fmla="*/ 0 w 421"/>
              <a:gd name="T1" fmla="*/ 421 h 421"/>
              <a:gd name="T2" fmla="*/ 421 w 421"/>
              <a:gd name="T3" fmla="*/ 0 h 421"/>
              <a:gd name="T4" fmla="*/ 421 w 421"/>
              <a:gd name="T5" fmla="*/ 0 h 421"/>
            </a:gdLst>
            <a:ahLst/>
            <a:cxnLst>
              <a:cxn ang="0">
                <a:pos x="T0" y="T1"/>
              </a:cxn>
              <a:cxn ang="0">
                <a:pos x="T2" y="T3"/>
              </a:cxn>
              <a:cxn ang="0">
                <a:pos x="T4" y="T5"/>
              </a:cxn>
            </a:cxnLst>
            <a:rect l="0" t="0" r="r" b="b"/>
            <a:pathLst>
              <a:path w="421" h="421">
                <a:moveTo>
                  <a:pt x="0" y="421"/>
                </a:moveTo>
                <a:lnTo>
                  <a:pt x="421"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0" name="Freeform 115">
            <a:extLst>
              <a:ext uri="{FF2B5EF4-FFF2-40B4-BE49-F238E27FC236}">
                <a16:creationId xmlns:a16="http://schemas.microsoft.com/office/drawing/2014/main" xmlns="" id="{690C88D7-28E7-47B0-8F2B-3D2E88CD1E9F}"/>
              </a:ext>
            </a:extLst>
          </xdr:cNvPr>
          <xdr:cNvSpPr>
            <a:spLocks/>
          </xdr:cNvSpPr>
        </xdr:nvSpPr>
        <xdr:spPr bwMode="auto">
          <a:xfrm>
            <a:off x="2423312" y="4748385"/>
            <a:ext cx="157623" cy="157754"/>
          </a:xfrm>
          <a:custGeom>
            <a:avLst/>
            <a:gdLst>
              <a:gd name="T0" fmla="*/ 0 w 248"/>
              <a:gd name="T1" fmla="*/ 247 h 247"/>
              <a:gd name="T2" fmla="*/ 248 w 248"/>
              <a:gd name="T3" fmla="*/ 0 h 247"/>
              <a:gd name="T4" fmla="*/ 248 w 248"/>
              <a:gd name="T5" fmla="*/ 0 h 247"/>
            </a:gdLst>
            <a:ahLst/>
            <a:cxnLst>
              <a:cxn ang="0">
                <a:pos x="T0" y="T1"/>
              </a:cxn>
              <a:cxn ang="0">
                <a:pos x="T2" y="T3"/>
              </a:cxn>
              <a:cxn ang="0">
                <a:pos x="T4" y="T5"/>
              </a:cxn>
            </a:cxnLst>
            <a:rect l="0" t="0" r="r" b="b"/>
            <a:pathLst>
              <a:path w="248" h="247">
                <a:moveTo>
                  <a:pt x="0" y="247"/>
                </a:moveTo>
                <a:lnTo>
                  <a:pt x="248"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1" name="Freeform 114">
            <a:extLst>
              <a:ext uri="{FF2B5EF4-FFF2-40B4-BE49-F238E27FC236}">
                <a16:creationId xmlns:a16="http://schemas.microsoft.com/office/drawing/2014/main" xmlns="" id="{156B65D9-458B-457F-A9E4-59ED88B8E817}"/>
              </a:ext>
            </a:extLst>
          </xdr:cNvPr>
          <xdr:cNvSpPr>
            <a:spLocks/>
          </xdr:cNvSpPr>
        </xdr:nvSpPr>
        <xdr:spPr bwMode="auto">
          <a:xfrm>
            <a:off x="2768891" y="4305069"/>
            <a:ext cx="254231" cy="254846"/>
          </a:xfrm>
          <a:custGeom>
            <a:avLst/>
            <a:gdLst>
              <a:gd name="T0" fmla="*/ 0 w 400"/>
              <a:gd name="T1" fmla="*/ 400 h 400"/>
              <a:gd name="T2" fmla="*/ 400 w 400"/>
              <a:gd name="T3" fmla="*/ 0 h 400"/>
              <a:gd name="T4" fmla="*/ 400 w 400"/>
              <a:gd name="T5" fmla="*/ 0 h 400"/>
            </a:gdLst>
            <a:ahLst/>
            <a:cxnLst>
              <a:cxn ang="0">
                <a:pos x="T0" y="T1"/>
              </a:cxn>
              <a:cxn ang="0">
                <a:pos x="T2" y="T3"/>
              </a:cxn>
              <a:cxn ang="0">
                <a:pos x="T4" y="T5"/>
              </a:cxn>
            </a:cxnLst>
            <a:rect l="0" t="0" r="r" b="b"/>
            <a:pathLst>
              <a:path w="400" h="400">
                <a:moveTo>
                  <a:pt x="0" y="400"/>
                </a:moveTo>
                <a:lnTo>
                  <a:pt x="40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2" name="Freeform 113">
            <a:extLst>
              <a:ext uri="{FF2B5EF4-FFF2-40B4-BE49-F238E27FC236}">
                <a16:creationId xmlns:a16="http://schemas.microsoft.com/office/drawing/2014/main" xmlns="" id="{49077A7B-EBE8-4946-A111-2E5380789669}"/>
              </a:ext>
            </a:extLst>
          </xdr:cNvPr>
          <xdr:cNvSpPr>
            <a:spLocks/>
          </xdr:cNvSpPr>
        </xdr:nvSpPr>
        <xdr:spPr bwMode="auto">
          <a:xfrm>
            <a:off x="1880705" y="4713483"/>
            <a:ext cx="191769" cy="192656"/>
          </a:xfrm>
          <a:custGeom>
            <a:avLst/>
            <a:gdLst>
              <a:gd name="T0" fmla="*/ 0 w 303"/>
              <a:gd name="T1" fmla="*/ 302 h 302"/>
              <a:gd name="T2" fmla="*/ 303 w 303"/>
              <a:gd name="T3" fmla="*/ 0 h 302"/>
              <a:gd name="T4" fmla="*/ 303 w 303"/>
              <a:gd name="T5" fmla="*/ 0 h 302"/>
            </a:gdLst>
            <a:ahLst/>
            <a:cxnLst>
              <a:cxn ang="0">
                <a:pos x="T0" y="T1"/>
              </a:cxn>
              <a:cxn ang="0">
                <a:pos x="T2" y="T3"/>
              </a:cxn>
              <a:cxn ang="0">
                <a:pos x="T4" y="T5"/>
              </a:cxn>
            </a:cxnLst>
            <a:rect l="0" t="0" r="r" b="b"/>
            <a:pathLst>
              <a:path w="303" h="302">
                <a:moveTo>
                  <a:pt x="0" y="302"/>
                </a:moveTo>
                <a:lnTo>
                  <a:pt x="30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3" name="Freeform 112">
            <a:extLst>
              <a:ext uri="{FF2B5EF4-FFF2-40B4-BE49-F238E27FC236}">
                <a16:creationId xmlns:a16="http://schemas.microsoft.com/office/drawing/2014/main" xmlns="" id="{18754FC2-0EC7-4154-B8BA-D0912789B676}"/>
              </a:ext>
            </a:extLst>
          </xdr:cNvPr>
          <xdr:cNvSpPr>
            <a:spLocks/>
          </xdr:cNvSpPr>
        </xdr:nvSpPr>
        <xdr:spPr bwMode="auto">
          <a:xfrm>
            <a:off x="2284757" y="4305069"/>
            <a:ext cx="195758" cy="195451"/>
          </a:xfrm>
          <a:custGeom>
            <a:avLst/>
            <a:gdLst>
              <a:gd name="T0" fmla="*/ 0 w 308"/>
              <a:gd name="T1" fmla="*/ 308 h 308"/>
              <a:gd name="T2" fmla="*/ 308 w 308"/>
              <a:gd name="T3" fmla="*/ 0 h 308"/>
              <a:gd name="T4" fmla="*/ 308 w 308"/>
              <a:gd name="T5" fmla="*/ 0 h 308"/>
            </a:gdLst>
            <a:ahLst/>
            <a:cxnLst>
              <a:cxn ang="0">
                <a:pos x="T0" y="T1"/>
              </a:cxn>
              <a:cxn ang="0">
                <a:pos x="T2" y="T3"/>
              </a:cxn>
              <a:cxn ang="0">
                <a:pos x="T4" y="T5"/>
              </a:cxn>
            </a:cxnLst>
            <a:rect l="0" t="0" r="r" b="b"/>
            <a:pathLst>
              <a:path w="308" h="308">
                <a:moveTo>
                  <a:pt x="0" y="308"/>
                </a:moveTo>
                <a:lnTo>
                  <a:pt x="308"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4" name="Freeform 111">
            <a:extLst>
              <a:ext uri="{FF2B5EF4-FFF2-40B4-BE49-F238E27FC236}">
                <a16:creationId xmlns:a16="http://schemas.microsoft.com/office/drawing/2014/main" xmlns="" id="{DEEEDA7D-E20B-42F9-B935-75CB7F6DE4A0}"/>
              </a:ext>
            </a:extLst>
          </xdr:cNvPr>
          <xdr:cNvSpPr>
            <a:spLocks/>
          </xdr:cNvSpPr>
        </xdr:nvSpPr>
        <xdr:spPr bwMode="auto">
          <a:xfrm>
            <a:off x="1863545" y="4704599"/>
            <a:ext cx="200667" cy="201540"/>
          </a:xfrm>
          <a:custGeom>
            <a:avLst/>
            <a:gdLst>
              <a:gd name="T0" fmla="*/ 0 w 317"/>
              <a:gd name="T1" fmla="*/ 316 h 316"/>
              <a:gd name="T2" fmla="*/ 317 w 317"/>
              <a:gd name="T3" fmla="*/ 0 h 316"/>
              <a:gd name="T4" fmla="*/ 317 w 317"/>
              <a:gd name="T5" fmla="*/ 0 h 316"/>
            </a:gdLst>
            <a:ahLst/>
            <a:cxnLst>
              <a:cxn ang="0">
                <a:pos x="T0" y="T1"/>
              </a:cxn>
              <a:cxn ang="0">
                <a:pos x="T2" y="T3"/>
              </a:cxn>
              <a:cxn ang="0">
                <a:pos x="T4" y="T5"/>
              </a:cxn>
            </a:cxnLst>
            <a:rect l="0" t="0" r="r" b="b"/>
            <a:pathLst>
              <a:path w="317" h="316">
                <a:moveTo>
                  <a:pt x="0" y="316"/>
                </a:moveTo>
                <a:lnTo>
                  <a:pt x="31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5" name="Freeform 110">
            <a:extLst>
              <a:ext uri="{FF2B5EF4-FFF2-40B4-BE49-F238E27FC236}">
                <a16:creationId xmlns:a16="http://schemas.microsoft.com/office/drawing/2014/main" xmlns="" id="{28F4A290-A5E1-4A89-BC07-8F1A438795ED}"/>
              </a:ext>
            </a:extLst>
          </xdr:cNvPr>
          <xdr:cNvSpPr>
            <a:spLocks/>
          </xdr:cNvSpPr>
        </xdr:nvSpPr>
        <xdr:spPr bwMode="auto">
          <a:xfrm>
            <a:off x="2275859" y="4305069"/>
            <a:ext cx="187495" cy="187201"/>
          </a:xfrm>
          <a:custGeom>
            <a:avLst/>
            <a:gdLst>
              <a:gd name="T0" fmla="*/ 0 w 295"/>
              <a:gd name="T1" fmla="*/ 295 h 295"/>
              <a:gd name="T2" fmla="*/ 295 w 295"/>
              <a:gd name="T3" fmla="*/ 0 h 295"/>
              <a:gd name="T4" fmla="*/ 295 w 295"/>
              <a:gd name="T5" fmla="*/ 0 h 295"/>
            </a:gdLst>
            <a:ahLst/>
            <a:cxnLst>
              <a:cxn ang="0">
                <a:pos x="T0" y="T1"/>
              </a:cxn>
              <a:cxn ang="0">
                <a:pos x="T2" y="T3"/>
              </a:cxn>
              <a:cxn ang="0">
                <a:pos x="T4" y="T5"/>
              </a:cxn>
            </a:cxnLst>
            <a:rect l="0" t="0" r="r" b="b"/>
            <a:pathLst>
              <a:path w="295" h="295">
                <a:moveTo>
                  <a:pt x="0" y="295"/>
                </a:moveTo>
                <a:lnTo>
                  <a:pt x="29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6" name="Freeform 109">
            <a:extLst>
              <a:ext uri="{FF2B5EF4-FFF2-40B4-BE49-F238E27FC236}">
                <a16:creationId xmlns:a16="http://schemas.microsoft.com/office/drawing/2014/main" xmlns="" id="{728BB229-B9DF-40E8-AE30-C74FA3E3E0F5}"/>
              </a:ext>
            </a:extLst>
          </xdr:cNvPr>
          <xdr:cNvSpPr>
            <a:spLocks/>
          </xdr:cNvSpPr>
        </xdr:nvSpPr>
        <xdr:spPr bwMode="auto">
          <a:xfrm>
            <a:off x="1847020" y="4695715"/>
            <a:ext cx="209565" cy="210425"/>
          </a:xfrm>
          <a:custGeom>
            <a:avLst/>
            <a:gdLst>
              <a:gd name="T0" fmla="*/ 0 w 331"/>
              <a:gd name="T1" fmla="*/ 330 h 330"/>
              <a:gd name="T2" fmla="*/ 331 w 331"/>
              <a:gd name="T3" fmla="*/ 0 h 330"/>
              <a:gd name="T4" fmla="*/ 331 w 331"/>
              <a:gd name="T5" fmla="*/ 0 h 330"/>
            </a:gdLst>
            <a:ahLst/>
            <a:cxnLst>
              <a:cxn ang="0">
                <a:pos x="T0" y="T1"/>
              </a:cxn>
              <a:cxn ang="0">
                <a:pos x="T2" y="T3"/>
              </a:cxn>
              <a:cxn ang="0">
                <a:pos x="T4" y="T5"/>
              </a:cxn>
            </a:cxnLst>
            <a:rect l="0" t="0" r="r" b="b"/>
            <a:pathLst>
              <a:path w="331" h="330">
                <a:moveTo>
                  <a:pt x="0" y="330"/>
                </a:moveTo>
                <a:lnTo>
                  <a:pt x="331"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7" name="Freeform 108">
            <a:extLst>
              <a:ext uri="{FF2B5EF4-FFF2-40B4-BE49-F238E27FC236}">
                <a16:creationId xmlns:a16="http://schemas.microsoft.com/office/drawing/2014/main" xmlns="" id="{1ED54433-0E64-4162-A520-823E643E8AAE}"/>
              </a:ext>
            </a:extLst>
          </xdr:cNvPr>
          <xdr:cNvSpPr>
            <a:spLocks/>
          </xdr:cNvSpPr>
        </xdr:nvSpPr>
        <xdr:spPr bwMode="auto">
          <a:xfrm>
            <a:off x="2266325" y="4305069"/>
            <a:ext cx="180504" cy="179586"/>
          </a:xfrm>
          <a:custGeom>
            <a:avLst/>
            <a:gdLst>
              <a:gd name="T0" fmla="*/ 0 w 284"/>
              <a:gd name="T1" fmla="*/ 283 h 283"/>
              <a:gd name="T2" fmla="*/ 284 w 284"/>
              <a:gd name="T3" fmla="*/ 0 h 283"/>
              <a:gd name="T4" fmla="*/ 284 w 284"/>
              <a:gd name="T5" fmla="*/ 0 h 283"/>
            </a:gdLst>
            <a:ahLst/>
            <a:cxnLst>
              <a:cxn ang="0">
                <a:pos x="T0" y="T1"/>
              </a:cxn>
              <a:cxn ang="0">
                <a:pos x="T2" y="T3"/>
              </a:cxn>
              <a:cxn ang="0">
                <a:pos x="T4" y="T5"/>
              </a:cxn>
            </a:cxnLst>
            <a:rect l="0" t="0" r="r" b="b"/>
            <a:pathLst>
              <a:path w="284" h="283">
                <a:moveTo>
                  <a:pt x="0" y="283"/>
                </a:moveTo>
                <a:lnTo>
                  <a:pt x="28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8" name="Freeform 107">
            <a:extLst>
              <a:ext uri="{FF2B5EF4-FFF2-40B4-BE49-F238E27FC236}">
                <a16:creationId xmlns:a16="http://schemas.microsoft.com/office/drawing/2014/main" xmlns="" id="{273CC743-62B0-42F3-8B40-B54BC95BCA4A}"/>
              </a:ext>
            </a:extLst>
          </xdr:cNvPr>
          <xdr:cNvSpPr>
            <a:spLocks/>
          </xdr:cNvSpPr>
        </xdr:nvSpPr>
        <xdr:spPr bwMode="auto">
          <a:xfrm>
            <a:off x="1751048" y="4305069"/>
            <a:ext cx="153174" cy="151665"/>
          </a:xfrm>
          <a:custGeom>
            <a:avLst/>
            <a:gdLst>
              <a:gd name="T0" fmla="*/ 0 w 241"/>
              <a:gd name="T1" fmla="*/ 239 h 239"/>
              <a:gd name="T2" fmla="*/ 241 w 241"/>
              <a:gd name="T3" fmla="*/ 0 h 239"/>
              <a:gd name="T4" fmla="*/ 241 w 241"/>
              <a:gd name="T5" fmla="*/ 0 h 239"/>
            </a:gdLst>
            <a:ahLst/>
            <a:cxnLst>
              <a:cxn ang="0">
                <a:pos x="T0" y="T1"/>
              </a:cxn>
              <a:cxn ang="0">
                <a:pos x="T2" y="T3"/>
              </a:cxn>
              <a:cxn ang="0">
                <a:pos x="T4" y="T5"/>
              </a:cxn>
            </a:cxnLst>
            <a:rect l="0" t="0" r="r" b="b"/>
            <a:pathLst>
              <a:path w="241" h="239">
                <a:moveTo>
                  <a:pt x="0" y="239"/>
                </a:moveTo>
                <a:lnTo>
                  <a:pt x="241"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9" name="Freeform 106">
            <a:extLst>
              <a:ext uri="{FF2B5EF4-FFF2-40B4-BE49-F238E27FC236}">
                <a16:creationId xmlns:a16="http://schemas.microsoft.com/office/drawing/2014/main" xmlns="" id="{7DBC9CD4-9FBC-4386-AEA2-E416E41E8785}"/>
              </a:ext>
            </a:extLst>
          </xdr:cNvPr>
          <xdr:cNvSpPr>
            <a:spLocks/>
          </xdr:cNvSpPr>
        </xdr:nvSpPr>
        <xdr:spPr bwMode="auto">
          <a:xfrm>
            <a:off x="1735794" y="4305069"/>
            <a:ext cx="151267" cy="149761"/>
          </a:xfrm>
          <a:custGeom>
            <a:avLst/>
            <a:gdLst>
              <a:gd name="T0" fmla="*/ 238 w 238"/>
              <a:gd name="T1" fmla="*/ 0 h 236"/>
              <a:gd name="T2" fmla="*/ 0 w 238"/>
              <a:gd name="T3" fmla="*/ 236 h 236"/>
              <a:gd name="T4" fmla="*/ 0 w 238"/>
              <a:gd name="T5" fmla="*/ 236 h 236"/>
            </a:gdLst>
            <a:ahLst/>
            <a:cxnLst>
              <a:cxn ang="0">
                <a:pos x="T0" y="T1"/>
              </a:cxn>
              <a:cxn ang="0">
                <a:pos x="T2" y="T3"/>
              </a:cxn>
              <a:cxn ang="0">
                <a:pos x="T4" y="T5"/>
              </a:cxn>
            </a:cxnLst>
            <a:rect l="0" t="0" r="r" b="b"/>
            <a:pathLst>
              <a:path w="238" h="236">
                <a:moveTo>
                  <a:pt x="238" y="0"/>
                </a:moveTo>
                <a:lnTo>
                  <a:pt x="0" y="236"/>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40" name="Freeform 105">
            <a:extLst>
              <a:ext uri="{FF2B5EF4-FFF2-40B4-BE49-F238E27FC236}">
                <a16:creationId xmlns:a16="http://schemas.microsoft.com/office/drawing/2014/main" xmlns="" id="{ABE997BA-E5CD-4EDC-A254-58FB6F658DA0}"/>
              </a:ext>
            </a:extLst>
          </xdr:cNvPr>
          <xdr:cNvSpPr>
            <a:spLocks/>
          </xdr:cNvSpPr>
        </xdr:nvSpPr>
        <xdr:spPr bwMode="auto">
          <a:xfrm>
            <a:off x="1718633" y="4305069"/>
            <a:ext cx="151267" cy="149761"/>
          </a:xfrm>
          <a:custGeom>
            <a:avLst/>
            <a:gdLst>
              <a:gd name="T0" fmla="*/ 0 w 238"/>
              <a:gd name="T1" fmla="*/ 236 h 236"/>
              <a:gd name="T2" fmla="*/ 238 w 238"/>
              <a:gd name="T3" fmla="*/ 0 h 236"/>
              <a:gd name="T4" fmla="*/ 238 w 238"/>
              <a:gd name="T5" fmla="*/ 0 h 236"/>
            </a:gdLst>
            <a:ahLst/>
            <a:cxnLst>
              <a:cxn ang="0">
                <a:pos x="T0" y="T1"/>
              </a:cxn>
              <a:cxn ang="0">
                <a:pos x="T2" y="T3"/>
              </a:cxn>
              <a:cxn ang="0">
                <a:pos x="T4" y="T5"/>
              </a:cxn>
            </a:cxnLst>
            <a:rect l="0" t="0" r="r" b="b"/>
            <a:pathLst>
              <a:path w="238" h="236">
                <a:moveTo>
                  <a:pt x="0" y="236"/>
                </a:moveTo>
                <a:lnTo>
                  <a:pt x="238"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41" name="Line 21">
            <a:extLst>
              <a:ext uri="{FF2B5EF4-FFF2-40B4-BE49-F238E27FC236}">
                <a16:creationId xmlns:a16="http://schemas.microsoft.com/office/drawing/2014/main" xmlns="" id="{ADBAF405-FBD7-40E6-B691-DA5B6844AB5B}"/>
              </a:ext>
            </a:extLst>
          </xdr:cNvPr>
          <xdr:cNvSpPr>
            <a:spLocks noChangeShapeType="1"/>
          </xdr:cNvSpPr>
        </xdr:nvSpPr>
        <xdr:spPr bwMode="auto">
          <a:xfrm flipH="1">
            <a:off x="2094084" y="4308877"/>
            <a:ext cx="0" cy="597263"/>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742" name="Text Box 20">
            <a:extLst>
              <a:ext uri="{FF2B5EF4-FFF2-40B4-BE49-F238E27FC236}">
                <a16:creationId xmlns:a16="http://schemas.microsoft.com/office/drawing/2014/main" xmlns="" id="{1A64067E-F92A-4303-A497-5348AD3E80F3}"/>
              </a:ext>
            </a:extLst>
          </xdr:cNvPr>
          <xdr:cNvSpPr txBox="1">
            <a:spLocks noChangeArrowheads="1"/>
          </xdr:cNvSpPr>
        </xdr:nvSpPr>
        <xdr:spPr bwMode="auto">
          <a:xfrm>
            <a:off x="2106160" y="4535422"/>
            <a:ext cx="106777" cy="150775"/>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h</a:t>
            </a:r>
          </a:p>
        </xdr:txBody>
      </xdr:sp>
      <xdr:sp macro="" textlink="">
        <xdr:nvSpPr>
          <xdr:cNvPr id="743" name="Line 19">
            <a:extLst>
              <a:ext uri="{FF2B5EF4-FFF2-40B4-BE49-F238E27FC236}">
                <a16:creationId xmlns:a16="http://schemas.microsoft.com/office/drawing/2014/main" xmlns="" id="{1D749D44-1C23-4A7F-8EAF-59B464CD5798}"/>
              </a:ext>
            </a:extLst>
          </xdr:cNvPr>
          <xdr:cNvSpPr>
            <a:spLocks noChangeShapeType="1"/>
          </xdr:cNvSpPr>
        </xdr:nvSpPr>
        <xdr:spPr bwMode="auto">
          <a:xfrm>
            <a:off x="2624790" y="4461176"/>
            <a:ext cx="0" cy="291652"/>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744" name="Text Box 18">
            <a:extLst>
              <a:ext uri="{FF2B5EF4-FFF2-40B4-BE49-F238E27FC236}">
                <a16:creationId xmlns:a16="http://schemas.microsoft.com/office/drawing/2014/main" xmlns="" id="{C36B3808-B7DD-457F-9CD9-3B6C89B03EC0}"/>
              </a:ext>
            </a:extLst>
          </xdr:cNvPr>
          <xdr:cNvSpPr txBox="1">
            <a:spLocks noChangeArrowheads="1"/>
          </xdr:cNvSpPr>
        </xdr:nvSpPr>
        <xdr:spPr bwMode="auto">
          <a:xfrm>
            <a:off x="2652756" y="4530345"/>
            <a:ext cx="202573" cy="150775"/>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hB</a:t>
            </a:r>
          </a:p>
        </xdr:txBody>
      </xdr:sp>
      <xdr:sp macro="" textlink="">
        <xdr:nvSpPr>
          <xdr:cNvPr id="745" name="Line 17">
            <a:extLst>
              <a:ext uri="{FF2B5EF4-FFF2-40B4-BE49-F238E27FC236}">
                <a16:creationId xmlns:a16="http://schemas.microsoft.com/office/drawing/2014/main" xmlns="" id="{9BEE389A-0CCB-4B3B-9146-60E8D95A0FDC}"/>
              </a:ext>
            </a:extLst>
          </xdr:cNvPr>
          <xdr:cNvSpPr>
            <a:spLocks noChangeShapeType="1"/>
          </xdr:cNvSpPr>
        </xdr:nvSpPr>
        <xdr:spPr bwMode="auto">
          <a:xfrm flipH="1" flipV="1">
            <a:off x="2932234" y="4610682"/>
            <a:ext cx="292365" cy="0"/>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746" name="Text Box 16">
            <a:extLst>
              <a:ext uri="{FF2B5EF4-FFF2-40B4-BE49-F238E27FC236}">
                <a16:creationId xmlns:a16="http://schemas.microsoft.com/office/drawing/2014/main" xmlns="" id="{99A863CE-6187-46DF-80B7-A275DD76FBD8}"/>
              </a:ext>
            </a:extLst>
          </xdr:cNvPr>
          <xdr:cNvSpPr txBox="1">
            <a:spLocks noChangeArrowheads="1"/>
          </xdr:cNvSpPr>
        </xdr:nvSpPr>
        <xdr:spPr bwMode="auto">
          <a:xfrm>
            <a:off x="3025664" y="4612627"/>
            <a:ext cx="194486" cy="150774"/>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B</a:t>
            </a:r>
          </a:p>
        </xdr:txBody>
      </xdr:sp>
      <xdr:sp macro="" textlink="">
        <xdr:nvSpPr>
          <xdr:cNvPr id="747" name="Line 15">
            <a:extLst>
              <a:ext uri="{FF2B5EF4-FFF2-40B4-BE49-F238E27FC236}">
                <a16:creationId xmlns:a16="http://schemas.microsoft.com/office/drawing/2014/main" xmlns="" id="{BF69A428-C517-4114-882F-DC1EA0B32B1E}"/>
              </a:ext>
            </a:extLst>
          </xdr:cNvPr>
          <xdr:cNvSpPr>
            <a:spLocks noChangeShapeType="1"/>
          </xdr:cNvSpPr>
        </xdr:nvSpPr>
        <xdr:spPr bwMode="auto">
          <a:xfrm flipH="1" flipV="1">
            <a:off x="3224599" y="4610682"/>
            <a:ext cx="157623" cy="0"/>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748" name="Text Box 14">
            <a:extLst>
              <a:ext uri="{FF2B5EF4-FFF2-40B4-BE49-F238E27FC236}">
                <a16:creationId xmlns:a16="http://schemas.microsoft.com/office/drawing/2014/main" xmlns="" id="{89FFFF4F-7725-43E6-90DA-B9F34B7B0FD3}"/>
              </a:ext>
            </a:extLst>
          </xdr:cNvPr>
          <xdr:cNvSpPr txBox="1">
            <a:spLocks noChangeArrowheads="1"/>
          </xdr:cNvSpPr>
        </xdr:nvSpPr>
        <xdr:spPr bwMode="auto">
          <a:xfrm>
            <a:off x="3206167" y="4627815"/>
            <a:ext cx="213554" cy="149761"/>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BB</a:t>
            </a:r>
          </a:p>
        </xdr:txBody>
      </xdr:sp>
    </xdr:grpSp>
    <xdr:clientData/>
  </xdr:twoCellAnchor>
  <xdr:twoCellAnchor>
    <xdr:from>
      <xdr:col>0</xdr:col>
      <xdr:colOff>304800</xdr:colOff>
      <xdr:row>20</xdr:row>
      <xdr:rowOff>34375</xdr:rowOff>
    </xdr:from>
    <xdr:to>
      <xdr:col>4</xdr:col>
      <xdr:colOff>345425</xdr:colOff>
      <xdr:row>20</xdr:row>
      <xdr:rowOff>231913</xdr:rowOff>
    </xdr:to>
    <xdr:sp macro="" textlink="">
      <xdr:nvSpPr>
        <xdr:cNvPr id="749" name="Text Box 13">
          <a:extLst>
            <a:ext uri="{FF2B5EF4-FFF2-40B4-BE49-F238E27FC236}">
              <a16:creationId xmlns:a16="http://schemas.microsoft.com/office/drawing/2014/main" xmlns="" id="{AE046A77-82A1-40FF-9770-A28C44503DC4}"/>
            </a:ext>
          </a:extLst>
        </xdr:cNvPr>
        <xdr:cNvSpPr txBox="1">
          <a:spLocks noChangeArrowheads="1"/>
        </xdr:cNvSpPr>
      </xdr:nvSpPr>
      <xdr:spPr bwMode="auto">
        <a:xfrm>
          <a:off x="304800" y="5003940"/>
          <a:ext cx="2724190" cy="197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６.波型中空合成スラブ</a:t>
          </a:r>
          <a:endParaRPr lang="ja-JP" altLang="en-US" sz="1050" b="0" i="0" u="none" strike="noStrike" baseline="0">
            <a:solidFill>
              <a:srgbClr val="000000"/>
            </a:solidFill>
            <a:latin typeface="Century"/>
            <a:ea typeface="ＭＳ Ｐゴシック"/>
          </a:endParaRPr>
        </a:p>
      </xdr:txBody>
    </xdr:sp>
    <xdr:clientData/>
  </xdr:twoCellAnchor>
  <xdr:twoCellAnchor>
    <xdr:from>
      <xdr:col>0</xdr:col>
      <xdr:colOff>308613</xdr:colOff>
      <xdr:row>25</xdr:row>
      <xdr:rowOff>8282</xdr:rowOff>
    </xdr:from>
    <xdr:to>
      <xdr:col>4</xdr:col>
      <xdr:colOff>358149</xdr:colOff>
      <xdr:row>27</xdr:row>
      <xdr:rowOff>217943</xdr:rowOff>
    </xdr:to>
    <xdr:grpSp>
      <xdr:nvGrpSpPr>
        <xdr:cNvPr id="2" name="グループ化 1"/>
        <xdr:cNvGrpSpPr/>
      </xdr:nvGrpSpPr>
      <xdr:grpSpPr>
        <a:xfrm>
          <a:off x="308613" y="6199532"/>
          <a:ext cx="2716536" cy="704961"/>
          <a:chOff x="671532" y="6460435"/>
          <a:chExt cx="2733101" cy="706617"/>
        </a:xfrm>
      </xdr:grpSpPr>
      <xdr:sp macro="" textlink="">
        <xdr:nvSpPr>
          <xdr:cNvPr id="825" name="Rectangle 406">
            <a:extLst>
              <a:ext uri="{FF2B5EF4-FFF2-40B4-BE49-F238E27FC236}">
                <a16:creationId xmlns:a16="http://schemas.microsoft.com/office/drawing/2014/main" xmlns="" id="{0822047D-5AEB-45B7-AE5C-EE1B2684B743}"/>
              </a:ext>
            </a:extLst>
          </xdr:cNvPr>
          <xdr:cNvSpPr>
            <a:spLocks noChangeArrowheads="1"/>
          </xdr:cNvSpPr>
        </xdr:nvSpPr>
        <xdr:spPr bwMode="auto">
          <a:xfrm>
            <a:off x="671532" y="6460435"/>
            <a:ext cx="2730647" cy="706506"/>
          </a:xfrm>
          <a:prstGeom prst="rect">
            <a:avLst/>
          </a:prstGeom>
          <a:solidFill>
            <a:srgbClr val="96969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6" name="Rectangle 405">
            <a:extLst>
              <a:ext uri="{FF2B5EF4-FFF2-40B4-BE49-F238E27FC236}">
                <a16:creationId xmlns:a16="http://schemas.microsoft.com/office/drawing/2014/main" xmlns="" id="{90DB7740-BB95-4DD1-81E0-1AE55AF1359C}"/>
              </a:ext>
            </a:extLst>
          </xdr:cNvPr>
          <xdr:cNvSpPr>
            <a:spLocks noChangeArrowheads="1"/>
          </xdr:cNvSpPr>
        </xdr:nvSpPr>
        <xdr:spPr bwMode="auto">
          <a:xfrm>
            <a:off x="2540497" y="6818282"/>
            <a:ext cx="367471" cy="17571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7" name="Freeform 404">
            <a:extLst>
              <a:ext uri="{FF2B5EF4-FFF2-40B4-BE49-F238E27FC236}">
                <a16:creationId xmlns:a16="http://schemas.microsoft.com/office/drawing/2014/main" xmlns="" id="{2657E37C-A29D-44C6-AFC9-7D526F3C910F}"/>
              </a:ext>
            </a:extLst>
          </xdr:cNvPr>
          <xdr:cNvSpPr>
            <a:spLocks/>
          </xdr:cNvSpPr>
        </xdr:nvSpPr>
        <xdr:spPr bwMode="auto">
          <a:xfrm>
            <a:off x="2510788" y="6742559"/>
            <a:ext cx="400895" cy="152107"/>
          </a:xfrm>
          <a:custGeom>
            <a:avLst/>
            <a:gdLst>
              <a:gd name="T0" fmla="*/ 54 w 641"/>
              <a:gd name="T1" fmla="*/ 0 h 231"/>
              <a:gd name="T2" fmla="*/ 97 w 641"/>
              <a:gd name="T3" fmla="*/ 19 h 231"/>
              <a:gd name="T4" fmla="*/ 112 w 641"/>
              <a:gd name="T5" fmla="*/ 31 h 231"/>
              <a:gd name="T6" fmla="*/ 119 w 641"/>
              <a:gd name="T7" fmla="*/ 46 h 231"/>
              <a:gd name="T8" fmla="*/ 133 w 641"/>
              <a:gd name="T9" fmla="*/ 51 h 231"/>
              <a:gd name="T10" fmla="*/ 184 w 641"/>
              <a:gd name="T11" fmla="*/ 75 h 231"/>
              <a:gd name="T12" fmla="*/ 284 w 641"/>
              <a:gd name="T13" fmla="*/ 108 h 231"/>
              <a:gd name="T14" fmla="*/ 364 w 641"/>
              <a:gd name="T15" fmla="*/ 111 h 231"/>
              <a:gd name="T16" fmla="*/ 426 w 641"/>
              <a:gd name="T17" fmla="*/ 96 h 231"/>
              <a:gd name="T18" fmla="*/ 476 w 641"/>
              <a:gd name="T19" fmla="*/ 82 h 231"/>
              <a:gd name="T20" fmla="*/ 534 w 641"/>
              <a:gd name="T21" fmla="*/ 58 h 231"/>
              <a:gd name="T22" fmla="*/ 560 w 641"/>
              <a:gd name="T23" fmla="*/ 39 h 231"/>
              <a:gd name="T24" fmla="*/ 584 w 641"/>
              <a:gd name="T25" fmla="*/ 17 h 231"/>
              <a:gd name="T26" fmla="*/ 620 w 641"/>
              <a:gd name="T27" fmla="*/ 10 h 231"/>
              <a:gd name="T28" fmla="*/ 640 w 641"/>
              <a:gd name="T29" fmla="*/ 43 h 231"/>
              <a:gd name="T30" fmla="*/ 628 w 641"/>
              <a:gd name="T31" fmla="*/ 147 h 231"/>
              <a:gd name="T32" fmla="*/ 548 w 641"/>
              <a:gd name="T33" fmla="*/ 209 h 231"/>
              <a:gd name="T34" fmla="*/ 484 w 641"/>
              <a:gd name="T35" fmla="*/ 226 h 231"/>
              <a:gd name="T36" fmla="*/ 440 w 641"/>
              <a:gd name="T37" fmla="*/ 231 h 231"/>
              <a:gd name="T38" fmla="*/ 229 w 641"/>
              <a:gd name="T39" fmla="*/ 214 h 231"/>
              <a:gd name="T40" fmla="*/ 188 w 641"/>
              <a:gd name="T41" fmla="*/ 207 h 231"/>
              <a:gd name="T42" fmla="*/ 85 w 641"/>
              <a:gd name="T43" fmla="*/ 173 h 231"/>
              <a:gd name="T44" fmla="*/ 32 w 641"/>
              <a:gd name="T45" fmla="*/ 147 h 231"/>
              <a:gd name="T46" fmla="*/ 6 w 641"/>
              <a:gd name="T47" fmla="*/ 101 h 231"/>
              <a:gd name="T48" fmla="*/ 40 w 641"/>
              <a:gd name="T49" fmla="*/ 12 h 231"/>
              <a:gd name="T50" fmla="*/ 54 w 641"/>
              <a:gd name="T51" fmla="*/ 0 h 2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641" h="231">
                <a:moveTo>
                  <a:pt x="54" y="0"/>
                </a:moveTo>
                <a:cubicBezTo>
                  <a:pt x="69" y="5"/>
                  <a:pt x="82" y="13"/>
                  <a:pt x="97" y="19"/>
                </a:cubicBezTo>
                <a:cubicBezTo>
                  <a:pt x="101" y="24"/>
                  <a:pt x="108" y="26"/>
                  <a:pt x="112" y="31"/>
                </a:cubicBezTo>
                <a:cubicBezTo>
                  <a:pt x="122" y="43"/>
                  <a:pt x="104" y="35"/>
                  <a:pt x="119" y="46"/>
                </a:cubicBezTo>
                <a:cubicBezTo>
                  <a:pt x="123" y="49"/>
                  <a:pt x="129" y="49"/>
                  <a:pt x="133" y="51"/>
                </a:cubicBezTo>
                <a:cubicBezTo>
                  <a:pt x="150" y="60"/>
                  <a:pt x="166" y="67"/>
                  <a:pt x="184" y="75"/>
                </a:cubicBezTo>
                <a:cubicBezTo>
                  <a:pt x="220" y="92"/>
                  <a:pt x="243" y="104"/>
                  <a:pt x="284" y="108"/>
                </a:cubicBezTo>
                <a:cubicBezTo>
                  <a:pt x="310" y="118"/>
                  <a:pt x="336" y="112"/>
                  <a:pt x="364" y="111"/>
                </a:cubicBezTo>
                <a:cubicBezTo>
                  <a:pt x="383" y="103"/>
                  <a:pt x="405" y="100"/>
                  <a:pt x="426" y="96"/>
                </a:cubicBezTo>
                <a:cubicBezTo>
                  <a:pt x="443" y="92"/>
                  <a:pt x="459" y="85"/>
                  <a:pt x="476" y="82"/>
                </a:cubicBezTo>
                <a:cubicBezTo>
                  <a:pt x="495" y="75"/>
                  <a:pt x="514" y="64"/>
                  <a:pt x="534" y="58"/>
                </a:cubicBezTo>
                <a:cubicBezTo>
                  <a:pt x="541" y="48"/>
                  <a:pt x="550" y="45"/>
                  <a:pt x="560" y="39"/>
                </a:cubicBezTo>
                <a:cubicBezTo>
                  <a:pt x="565" y="31"/>
                  <a:pt x="575" y="20"/>
                  <a:pt x="584" y="17"/>
                </a:cubicBezTo>
                <a:cubicBezTo>
                  <a:pt x="595" y="2"/>
                  <a:pt x="600" y="7"/>
                  <a:pt x="620" y="10"/>
                </a:cubicBezTo>
                <a:cubicBezTo>
                  <a:pt x="633" y="18"/>
                  <a:pt x="634" y="30"/>
                  <a:pt x="640" y="43"/>
                </a:cubicBezTo>
                <a:cubicBezTo>
                  <a:pt x="638" y="68"/>
                  <a:pt x="641" y="124"/>
                  <a:pt x="628" y="147"/>
                </a:cubicBezTo>
                <a:cubicBezTo>
                  <a:pt x="611" y="176"/>
                  <a:pt x="581" y="201"/>
                  <a:pt x="548" y="209"/>
                </a:cubicBezTo>
                <a:cubicBezTo>
                  <a:pt x="531" y="218"/>
                  <a:pt x="503" y="223"/>
                  <a:pt x="484" y="226"/>
                </a:cubicBezTo>
                <a:cubicBezTo>
                  <a:pt x="469" y="228"/>
                  <a:pt x="440" y="231"/>
                  <a:pt x="440" y="231"/>
                </a:cubicBezTo>
                <a:cubicBezTo>
                  <a:pt x="367" y="229"/>
                  <a:pt x="301" y="221"/>
                  <a:pt x="229" y="214"/>
                </a:cubicBezTo>
                <a:cubicBezTo>
                  <a:pt x="215" y="211"/>
                  <a:pt x="202" y="210"/>
                  <a:pt x="188" y="207"/>
                </a:cubicBezTo>
                <a:cubicBezTo>
                  <a:pt x="153" y="199"/>
                  <a:pt x="120" y="183"/>
                  <a:pt x="85" y="173"/>
                </a:cubicBezTo>
                <a:cubicBezTo>
                  <a:pt x="71" y="163"/>
                  <a:pt x="49" y="151"/>
                  <a:pt x="32" y="147"/>
                </a:cubicBezTo>
                <a:cubicBezTo>
                  <a:pt x="19" y="138"/>
                  <a:pt x="10" y="116"/>
                  <a:pt x="6" y="101"/>
                </a:cubicBezTo>
                <a:cubicBezTo>
                  <a:pt x="1" y="51"/>
                  <a:pt x="0" y="37"/>
                  <a:pt x="40" y="12"/>
                </a:cubicBezTo>
                <a:cubicBezTo>
                  <a:pt x="45" y="3"/>
                  <a:pt x="49" y="7"/>
                  <a:pt x="54"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8" name="Rectangle 403">
            <a:extLst>
              <a:ext uri="{FF2B5EF4-FFF2-40B4-BE49-F238E27FC236}">
                <a16:creationId xmlns:a16="http://schemas.microsoft.com/office/drawing/2014/main" xmlns="" id="{D6297107-0EF1-4145-A365-B229AF97AF43}"/>
              </a:ext>
            </a:extLst>
          </xdr:cNvPr>
          <xdr:cNvSpPr>
            <a:spLocks noChangeArrowheads="1"/>
          </xdr:cNvSpPr>
        </xdr:nvSpPr>
        <xdr:spPr bwMode="auto">
          <a:xfrm>
            <a:off x="2216951" y="6743217"/>
            <a:ext cx="330355" cy="25144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9" name="Rectangle 402">
            <a:extLst>
              <a:ext uri="{FF2B5EF4-FFF2-40B4-BE49-F238E27FC236}">
                <a16:creationId xmlns:a16="http://schemas.microsoft.com/office/drawing/2014/main" xmlns="" id="{4AB6669B-82AD-4C21-AF44-8E8C60C6F05E}"/>
              </a:ext>
            </a:extLst>
          </xdr:cNvPr>
          <xdr:cNvSpPr>
            <a:spLocks noChangeArrowheads="1"/>
          </xdr:cNvSpPr>
        </xdr:nvSpPr>
        <xdr:spPr bwMode="auto">
          <a:xfrm>
            <a:off x="2890638" y="6743875"/>
            <a:ext cx="332830" cy="25144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30" name="Line 401">
            <a:extLst>
              <a:ext uri="{FF2B5EF4-FFF2-40B4-BE49-F238E27FC236}">
                <a16:creationId xmlns:a16="http://schemas.microsoft.com/office/drawing/2014/main" xmlns="" id="{B04188C3-40CB-49E9-91D7-577C6790E913}"/>
              </a:ext>
            </a:extLst>
          </xdr:cNvPr>
          <xdr:cNvSpPr>
            <a:spLocks noChangeShapeType="1"/>
          </xdr:cNvSpPr>
        </xdr:nvSpPr>
        <xdr:spPr bwMode="auto">
          <a:xfrm flipH="1" flipV="1">
            <a:off x="858436" y="6940100"/>
            <a:ext cx="1005279" cy="0"/>
          </a:xfrm>
          <a:prstGeom prst="line">
            <a:avLst/>
          </a:prstGeom>
          <a:noFill/>
          <a:ln w="6350">
            <a:solidFill>
              <a:srgbClr val="0000FF"/>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831" name="Text Box 400">
            <a:extLst>
              <a:ext uri="{FF2B5EF4-FFF2-40B4-BE49-F238E27FC236}">
                <a16:creationId xmlns:a16="http://schemas.microsoft.com/office/drawing/2014/main" xmlns="" id="{E0FF391B-1E6D-4B5B-A550-1694F291A274}"/>
              </a:ext>
            </a:extLst>
          </xdr:cNvPr>
          <xdr:cNvSpPr txBox="1">
            <a:spLocks noChangeArrowheads="1"/>
          </xdr:cNvSpPr>
        </xdr:nvSpPr>
        <xdr:spPr bwMode="auto">
          <a:xfrm>
            <a:off x="1312583" y="6828819"/>
            <a:ext cx="115555" cy="156228"/>
          </a:xfrm>
          <a:prstGeom prst="rect">
            <a:avLst/>
          </a:prstGeom>
          <a:solidFill>
            <a:srgbClr val="FFFF9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0000FF"/>
                </a:solidFill>
                <a:latin typeface="Arial"/>
                <a:cs typeface="Arial"/>
              </a:rPr>
              <a:t>B</a:t>
            </a:r>
          </a:p>
        </xdr:txBody>
      </xdr:sp>
      <xdr:sp macro="" textlink="">
        <xdr:nvSpPr>
          <xdr:cNvPr id="832" name="Rectangle 399">
            <a:extLst>
              <a:ext uri="{FF2B5EF4-FFF2-40B4-BE49-F238E27FC236}">
                <a16:creationId xmlns:a16="http://schemas.microsoft.com/office/drawing/2014/main" xmlns="" id="{886CF724-FA3D-4A40-82B0-5729167A7BFB}"/>
              </a:ext>
            </a:extLst>
          </xdr:cNvPr>
          <xdr:cNvSpPr>
            <a:spLocks noChangeArrowheads="1"/>
          </xdr:cNvSpPr>
        </xdr:nvSpPr>
        <xdr:spPr bwMode="auto">
          <a:xfrm>
            <a:off x="851628" y="6736239"/>
            <a:ext cx="330354" cy="25249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33" name="Rectangle 398">
            <a:extLst>
              <a:ext uri="{FF2B5EF4-FFF2-40B4-BE49-F238E27FC236}">
                <a16:creationId xmlns:a16="http://schemas.microsoft.com/office/drawing/2014/main" xmlns="" id="{65F93619-2EB5-4E22-80EA-2A4F3A4A5DDF}"/>
              </a:ext>
            </a:extLst>
          </xdr:cNvPr>
          <xdr:cNvSpPr>
            <a:spLocks noChangeArrowheads="1"/>
          </xdr:cNvSpPr>
        </xdr:nvSpPr>
        <xdr:spPr bwMode="auto">
          <a:xfrm>
            <a:off x="1525315" y="6736897"/>
            <a:ext cx="332830" cy="25249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34" name="Rectangle 397">
            <a:extLst>
              <a:ext uri="{FF2B5EF4-FFF2-40B4-BE49-F238E27FC236}">
                <a16:creationId xmlns:a16="http://schemas.microsoft.com/office/drawing/2014/main" xmlns="" id="{33478BA3-B953-49B9-B08F-1052E889CE51}"/>
              </a:ext>
            </a:extLst>
          </xdr:cNvPr>
          <xdr:cNvSpPr>
            <a:spLocks noChangeArrowheads="1"/>
          </xdr:cNvSpPr>
        </xdr:nvSpPr>
        <xdr:spPr bwMode="auto">
          <a:xfrm>
            <a:off x="1175174" y="6812356"/>
            <a:ext cx="367472" cy="17571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35" name="Freeform 396">
            <a:extLst>
              <a:ext uri="{FF2B5EF4-FFF2-40B4-BE49-F238E27FC236}">
                <a16:creationId xmlns:a16="http://schemas.microsoft.com/office/drawing/2014/main" xmlns="" id="{5390F7B8-6030-440B-AE4B-54EF224F3E01}"/>
              </a:ext>
            </a:extLst>
          </xdr:cNvPr>
          <xdr:cNvSpPr>
            <a:spLocks/>
          </xdr:cNvSpPr>
        </xdr:nvSpPr>
        <xdr:spPr bwMode="auto">
          <a:xfrm>
            <a:off x="1145463" y="6735581"/>
            <a:ext cx="400896" cy="153158"/>
          </a:xfrm>
          <a:custGeom>
            <a:avLst/>
            <a:gdLst>
              <a:gd name="T0" fmla="*/ 54 w 641"/>
              <a:gd name="T1" fmla="*/ 0 h 231"/>
              <a:gd name="T2" fmla="*/ 97 w 641"/>
              <a:gd name="T3" fmla="*/ 19 h 231"/>
              <a:gd name="T4" fmla="*/ 112 w 641"/>
              <a:gd name="T5" fmla="*/ 31 h 231"/>
              <a:gd name="T6" fmla="*/ 119 w 641"/>
              <a:gd name="T7" fmla="*/ 46 h 231"/>
              <a:gd name="T8" fmla="*/ 133 w 641"/>
              <a:gd name="T9" fmla="*/ 51 h 231"/>
              <a:gd name="T10" fmla="*/ 184 w 641"/>
              <a:gd name="T11" fmla="*/ 75 h 231"/>
              <a:gd name="T12" fmla="*/ 284 w 641"/>
              <a:gd name="T13" fmla="*/ 108 h 231"/>
              <a:gd name="T14" fmla="*/ 364 w 641"/>
              <a:gd name="T15" fmla="*/ 111 h 231"/>
              <a:gd name="T16" fmla="*/ 426 w 641"/>
              <a:gd name="T17" fmla="*/ 96 h 231"/>
              <a:gd name="T18" fmla="*/ 476 w 641"/>
              <a:gd name="T19" fmla="*/ 82 h 231"/>
              <a:gd name="T20" fmla="*/ 534 w 641"/>
              <a:gd name="T21" fmla="*/ 58 h 231"/>
              <a:gd name="T22" fmla="*/ 560 w 641"/>
              <a:gd name="T23" fmla="*/ 39 h 231"/>
              <a:gd name="T24" fmla="*/ 584 w 641"/>
              <a:gd name="T25" fmla="*/ 17 h 231"/>
              <a:gd name="T26" fmla="*/ 620 w 641"/>
              <a:gd name="T27" fmla="*/ 10 h 231"/>
              <a:gd name="T28" fmla="*/ 640 w 641"/>
              <a:gd name="T29" fmla="*/ 43 h 231"/>
              <a:gd name="T30" fmla="*/ 628 w 641"/>
              <a:gd name="T31" fmla="*/ 147 h 231"/>
              <a:gd name="T32" fmla="*/ 548 w 641"/>
              <a:gd name="T33" fmla="*/ 209 h 231"/>
              <a:gd name="T34" fmla="*/ 484 w 641"/>
              <a:gd name="T35" fmla="*/ 226 h 231"/>
              <a:gd name="T36" fmla="*/ 440 w 641"/>
              <a:gd name="T37" fmla="*/ 231 h 231"/>
              <a:gd name="T38" fmla="*/ 229 w 641"/>
              <a:gd name="T39" fmla="*/ 214 h 231"/>
              <a:gd name="T40" fmla="*/ 188 w 641"/>
              <a:gd name="T41" fmla="*/ 207 h 231"/>
              <a:gd name="T42" fmla="*/ 85 w 641"/>
              <a:gd name="T43" fmla="*/ 173 h 231"/>
              <a:gd name="T44" fmla="*/ 32 w 641"/>
              <a:gd name="T45" fmla="*/ 147 h 231"/>
              <a:gd name="T46" fmla="*/ 6 w 641"/>
              <a:gd name="T47" fmla="*/ 101 h 231"/>
              <a:gd name="T48" fmla="*/ 40 w 641"/>
              <a:gd name="T49" fmla="*/ 12 h 231"/>
              <a:gd name="T50" fmla="*/ 54 w 641"/>
              <a:gd name="T51" fmla="*/ 0 h 2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641" h="231">
                <a:moveTo>
                  <a:pt x="54" y="0"/>
                </a:moveTo>
                <a:cubicBezTo>
                  <a:pt x="69" y="5"/>
                  <a:pt x="82" y="13"/>
                  <a:pt x="97" y="19"/>
                </a:cubicBezTo>
                <a:cubicBezTo>
                  <a:pt x="101" y="24"/>
                  <a:pt x="108" y="26"/>
                  <a:pt x="112" y="31"/>
                </a:cubicBezTo>
                <a:cubicBezTo>
                  <a:pt x="122" y="43"/>
                  <a:pt x="104" y="35"/>
                  <a:pt x="119" y="46"/>
                </a:cubicBezTo>
                <a:cubicBezTo>
                  <a:pt x="123" y="49"/>
                  <a:pt x="129" y="49"/>
                  <a:pt x="133" y="51"/>
                </a:cubicBezTo>
                <a:cubicBezTo>
                  <a:pt x="150" y="60"/>
                  <a:pt x="166" y="67"/>
                  <a:pt x="184" y="75"/>
                </a:cubicBezTo>
                <a:cubicBezTo>
                  <a:pt x="220" y="92"/>
                  <a:pt x="243" y="104"/>
                  <a:pt x="284" y="108"/>
                </a:cubicBezTo>
                <a:cubicBezTo>
                  <a:pt x="310" y="118"/>
                  <a:pt x="336" y="112"/>
                  <a:pt x="364" y="111"/>
                </a:cubicBezTo>
                <a:cubicBezTo>
                  <a:pt x="383" y="103"/>
                  <a:pt x="405" y="100"/>
                  <a:pt x="426" y="96"/>
                </a:cubicBezTo>
                <a:cubicBezTo>
                  <a:pt x="443" y="92"/>
                  <a:pt x="459" y="85"/>
                  <a:pt x="476" y="82"/>
                </a:cubicBezTo>
                <a:cubicBezTo>
                  <a:pt x="495" y="75"/>
                  <a:pt x="514" y="64"/>
                  <a:pt x="534" y="58"/>
                </a:cubicBezTo>
                <a:cubicBezTo>
                  <a:pt x="541" y="48"/>
                  <a:pt x="550" y="45"/>
                  <a:pt x="560" y="39"/>
                </a:cubicBezTo>
                <a:cubicBezTo>
                  <a:pt x="565" y="31"/>
                  <a:pt x="575" y="20"/>
                  <a:pt x="584" y="17"/>
                </a:cubicBezTo>
                <a:cubicBezTo>
                  <a:pt x="595" y="2"/>
                  <a:pt x="600" y="7"/>
                  <a:pt x="620" y="10"/>
                </a:cubicBezTo>
                <a:cubicBezTo>
                  <a:pt x="633" y="18"/>
                  <a:pt x="634" y="30"/>
                  <a:pt x="640" y="43"/>
                </a:cubicBezTo>
                <a:cubicBezTo>
                  <a:pt x="638" y="68"/>
                  <a:pt x="641" y="124"/>
                  <a:pt x="628" y="147"/>
                </a:cubicBezTo>
                <a:cubicBezTo>
                  <a:pt x="611" y="176"/>
                  <a:pt x="581" y="201"/>
                  <a:pt x="548" y="209"/>
                </a:cubicBezTo>
                <a:cubicBezTo>
                  <a:pt x="531" y="218"/>
                  <a:pt x="503" y="223"/>
                  <a:pt x="484" y="226"/>
                </a:cubicBezTo>
                <a:cubicBezTo>
                  <a:pt x="469" y="228"/>
                  <a:pt x="440" y="231"/>
                  <a:pt x="440" y="231"/>
                </a:cubicBezTo>
                <a:cubicBezTo>
                  <a:pt x="367" y="229"/>
                  <a:pt x="301" y="221"/>
                  <a:pt x="229" y="214"/>
                </a:cubicBezTo>
                <a:cubicBezTo>
                  <a:pt x="215" y="211"/>
                  <a:pt x="202" y="210"/>
                  <a:pt x="188" y="207"/>
                </a:cubicBezTo>
                <a:cubicBezTo>
                  <a:pt x="153" y="199"/>
                  <a:pt x="120" y="183"/>
                  <a:pt x="85" y="173"/>
                </a:cubicBezTo>
                <a:cubicBezTo>
                  <a:pt x="71" y="163"/>
                  <a:pt x="49" y="151"/>
                  <a:pt x="32" y="147"/>
                </a:cubicBezTo>
                <a:cubicBezTo>
                  <a:pt x="19" y="138"/>
                  <a:pt x="10" y="116"/>
                  <a:pt x="6" y="101"/>
                </a:cubicBezTo>
                <a:cubicBezTo>
                  <a:pt x="1" y="51"/>
                  <a:pt x="0" y="37"/>
                  <a:pt x="40" y="12"/>
                </a:cubicBezTo>
                <a:cubicBezTo>
                  <a:pt x="45" y="3"/>
                  <a:pt x="49" y="7"/>
                  <a:pt x="54"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7" name="Freeform 104">
            <a:extLst>
              <a:ext uri="{FF2B5EF4-FFF2-40B4-BE49-F238E27FC236}">
                <a16:creationId xmlns:a16="http://schemas.microsoft.com/office/drawing/2014/main" xmlns="" id="{76FF523B-41BA-41DD-BD0C-BC66DF7145D8}"/>
              </a:ext>
            </a:extLst>
          </xdr:cNvPr>
          <xdr:cNvSpPr>
            <a:spLocks/>
          </xdr:cNvSpPr>
        </xdr:nvSpPr>
        <xdr:spPr bwMode="auto">
          <a:xfrm>
            <a:off x="852247" y="6737556"/>
            <a:ext cx="619" cy="251175"/>
          </a:xfrm>
          <a:custGeom>
            <a:avLst/>
            <a:gdLst>
              <a:gd name="T0" fmla="*/ 377 h 377"/>
              <a:gd name="T1" fmla="*/ 0 h 377"/>
              <a:gd name="T2" fmla="*/ 0 h 377"/>
            </a:gdLst>
            <a:ahLst/>
            <a:cxnLst>
              <a:cxn ang="0">
                <a:pos x="0" y="T0"/>
              </a:cxn>
              <a:cxn ang="0">
                <a:pos x="0" y="T1"/>
              </a:cxn>
              <a:cxn ang="0">
                <a:pos x="0" y="T2"/>
              </a:cxn>
            </a:cxnLst>
            <a:rect l="0" t="0" r="r" b="b"/>
            <a:pathLst>
              <a:path h="377">
                <a:moveTo>
                  <a:pt x="0" y="377"/>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38" name="Freeform 103">
            <a:extLst>
              <a:ext uri="{FF2B5EF4-FFF2-40B4-BE49-F238E27FC236}">
                <a16:creationId xmlns:a16="http://schemas.microsoft.com/office/drawing/2014/main" xmlns="" id="{5FAF42E9-E8F1-4119-9EE7-90A68ED42E0E}"/>
              </a:ext>
            </a:extLst>
          </xdr:cNvPr>
          <xdr:cNvSpPr>
            <a:spLocks/>
          </xdr:cNvSpPr>
        </xdr:nvSpPr>
        <xdr:spPr bwMode="auto">
          <a:xfrm>
            <a:off x="1860001" y="6737556"/>
            <a:ext cx="619" cy="251175"/>
          </a:xfrm>
          <a:custGeom>
            <a:avLst/>
            <a:gdLst>
              <a:gd name="T0" fmla="*/ 0 h 377"/>
              <a:gd name="T1" fmla="*/ 377 h 377"/>
              <a:gd name="T2" fmla="*/ 377 h 377"/>
            </a:gdLst>
            <a:ahLst/>
            <a:cxnLst>
              <a:cxn ang="0">
                <a:pos x="0" y="T0"/>
              </a:cxn>
              <a:cxn ang="0">
                <a:pos x="0" y="T1"/>
              </a:cxn>
              <a:cxn ang="0">
                <a:pos x="0" y="T2"/>
              </a:cxn>
            </a:cxnLst>
            <a:rect l="0" t="0" r="r" b="b"/>
            <a:pathLst>
              <a:path h="377">
                <a:moveTo>
                  <a:pt x="0" y="0"/>
                </a:moveTo>
                <a:lnTo>
                  <a:pt x="0" y="377"/>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39" name="Arc 102">
            <a:extLst>
              <a:ext uri="{FF2B5EF4-FFF2-40B4-BE49-F238E27FC236}">
                <a16:creationId xmlns:a16="http://schemas.microsoft.com/office/drawing/2014/main" xmlns="" id="{44FFE06B-8621-489E-89D4-4FBA6B30F998}"/>
              </a:ext>
            </a:extLst>
          </xdr:cNvPr>
          <xdr:cNvSpPr>
            <a:spLocks/>
          </xdr:cNvSpPr>
        </xdr:nvSpPr>
        <xdr:spPr bwMode="auto">
          <a:xfrm>
            <a:off x="851009" y="6661662"/>
            <a:ext cx="333449" cy="250781"/>
          </a:xfrm>
          <a:custGeom>
            <a:avLst/>
            <a:gdLst>
              <a:gd name="G0" fmla="+- 15401 0 0"/>
              <a:gd name="G1" fmla="+- 21600 0 0"/>
              <a:gd name="G2" fmla="+- 21600 0 0"/>
              <a:gd name="T0" fmla="*/ 0 w 30858"/>
              <a:gd name="T1" fmla="*/ 6455 h 21600"/>
              <a:gd name="T2" fmla="*/ 30858 w 30858"/>
              <a:gd name="T3" fmla="*/ 6512 h 21600"/>
              <a:gd name="T4" fmla="*/ 15401 w 30858"/>
              <a:gd name="T5" fmla="*/ 21600 h 21600"/>
            </a:gdLst>
            <a:ahLst/>
            <a:cxnLst>
              <a:cxn ang="0">
                <a:pos x="T0" y="T1"/>
              </a:cxn>
              <a:cxn ang="0">
                <a:pos x="T2" y="T3"/>
              </a:cxn>
              <a:cxn ang="0">
                <a:pos x="T4" y="T5"/>
              </a:cxn>
            </a:cxnLst>
            <a:rect l="0" t="0" r="r" b="b"/>
            <a:pathLst>
              <a:path w="30858" h="21600" fill="none" extrusionOk="0">
                <a:moveTo>
                  <a:pt x="0" y="6455"/>
                </a:moveTo>
                <a:cubicBezTo>
                  <a:pt x="4060" y="2325"/>
                  <a:pt x="9609" y="0"/>
                  <a:pt x="15401" y="0"/>
                </a:cubicBezTo>
                <a:cubicBezTo>
                  <a:pt x="21220" y="0"/>
                  <a:pt x="26793" y="2347"/>
                  <a:pt x="30857" y="6512"/>
                </a:cubicBezTo>
              </a:path>
              <a:path w="30858" h="21600" stroke="0" extrusionOk="0">
                <a:moveTo>
                  <a:pt x="0" y="6455"/>
                </a:moveTo>
                <a:cubicBezTo>
                  <a:pt x="4060" y="2325"/>
                  <a:pt x="9609" y="0"/>
                  <a:pt x="15401" y="0"/>
                </a:cubicBezTo>
                <a:cubicBezTo>
                  <a:pt x="21220" y="0"/>
                  <a:pt x="26793" y="2347"/>
                  <a:pt x="30857" y="6512"/>
                </a:cubicBezTo>
                <a:lnTo>
                  <a:pt x="15401" y="21600"/>
                </a:lnTo>
                <a:close/>
              </a:path>
            </a:pathLst>
          </a:custGeom>
          <a:solidFill>
            <a:srgbClr val="FFFFFF"/>
          </a:solidFill>
          <a:ln w="6350">
            <a:solidFill>
              <a:srgbClr val="000000"/>
            </a:solidFill>
            <a:round/>
            <a:headEnd/>
            <a:tailEnd/>
          </a:ln>
        </xdr:spPr>
      </xdr:sp>
      <xdr:sp macro="" textlink="">
        <xdr:nvSpPr>
          <xdr:cNvPr id="840" name="Arc 101">
            <a:extLst>
              <a:ext uri="{FF2B5EF4-FFF2-40B4-BE49-F238E27FC236}">
                <a16:creationId xmlns:a16="http://schemas.microsoft.com/office/drawing/2014/main" xmlns="" id="{F2A84546-A370-4C5E-A2FC-011750A4F935}"/>
              </a:ext>
            </a:extLst>
          </xdr:cNvPr>
          <xdr:cNvSpPr>
            <a:spLocks/>
          </xdr:cNvSpPr>
        </xdr:nvSpPr>
        <xdr:spPr bwMode="auto">
          <a:xfrm>
            <a:off x="1186315" y="6560257"/>
            <a:ext cx="337143" cy="250781"/>
          </a:xfrm>
          <a:custGeom>
            <a:avLst/>
            <a:gdLst>
              <a:gd name="G0" fmla="+- 15349 0 0"/>
              <a:gd name="G1" fmla="+- 0 0 0"/>
              <a:gd name="G2" fmla="+- 21600 0 0"/>
              <a:gd name="T0" fmla="*/ 30754 w 30754"/>
              <a:gd name="T1" fmla="*/ 15141 h 21600"/>
              <a:gd name="T2" fmla="*/ 0 w 30754"/>
              <a:gd name="T3" fmla="*/ 15198 h 21600"/>
              <a:gd name="T4" fmla="*/ 15349 w 30754"/>
              <a:gd name="T5" fmla="*/ 0 h 21600"/>
            </a:gdLst>
            <a:ahLst/>
            <a:cxnLst>
              <a:cxn ang="0">
                <a:pos x="T0" y="T1"/>
              </a:cxn>
              <a:cxn ang="0">
                <a:pos x="T2" y="T3"/>
              </a:cxn>
              <a:cxn ang="0">
                <a:pos x="T4" y="T5"/>
              </a:cxn>
            </a:cxnLst>
            <a:rect l="0" t="0" r="r" b="b"/>
            <a:pathLst>
              <a:path w="30754" h="21600" fill="none" extrusionOk="0">
                <a:moveTo>
                  <a:pt x="30753" y="15140"/>
                </a:moveTo>
                <a:cubicBezTo>
                  <a:pt x="26692" y="19272"/>
                  <a:pt x="21142" y="21599"/>
                  <a:pt x="15349" y="21599"/>
                </a:cubicBezTo>
                <a:cubicBezTo>
                  <a:pt x="9583" y="21599"/>
                  <a:pt x="4056" y="19294"/>
                  <a:pt x="0" y="15197"/>
                </a:cubicBezTo>
              </a:path>
              <a:path w="30754" h="21600" stroke="0" extrusionOk="0">
                <a:moveTo>
                  <a:pt x="30753" y="15140"/>
                </a:moveTo>
                <a:cubicBezTo>
                  <a:pt x="26692" y="19272"/>
                  <a:pt x="21142" y="21599"/>
                  <a:pt x="15349" y="21599"/>
                </a:cubicBezTo>
                <a:cubicBezTo>
                  <a:pt x="9583" y="21599"/>
                  <a:pt x="4056" y="19294"/>
                  <a:pt x="0" y="15197"/>
                </a:cubicBezTo>
                <a:lnTo>
                  <a:pt x="15349" y="0"/>
                </a:lnTo>
                <a:close/>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41" name="Arc 100">
            <a:extLst>
              <a:ext uri="{FF2B5EF4-FFF2-40B4-BE49-F238E27FC236}">
                <a16:creationId xmlns:a16="http://schemas.microsoft.com/office/drawing/2014/main" xmlns="" id="{8058B038-E57C-4D56-ACEA-1A2120A04E31}"/>
              </a:ext>
            </a:extLst>
          </xdr:cNvPr>
          <xdr:cNvSpPr>
            <a:spLocks/>
          </xdr:cNvSpPr>
        </xdr:nvSpPr>
        <xdr:spPr bwMode="auto">
          <a:xfrm>
            <a:off x="1525315" y="6661662"/>
            <a:ext cx="333449" cy="250781"/>
          </a:xfrm>
          <a:custGeom>
            <a:avLst/>
            <a:gdLst>
              <a:gd name="G0" fmla="+- 15415 0 0"/>
              <a:gd name="G1" fmla="+- 21600 0 0"/>
              <a:gd name="G2" fmla="+- 21600 0 0"/>
              <a:gd name="T0" fmla="*/ 0 w 30872"/>
              <a:gd name="T1" fmla="*/ 6470 h 21600"/>
              <a:gd name="T2" fmla="*/ 30872 w 30872"/>
              <a:gd name="T3" fmla="*/ 6512 h 21600"/>
              <a:gd name="T4" fmla="*/ 15415 w 30872"/>
              <a:gd name="T5" fmla="*/ 21600 h 21600"/>
            </a:gdLst>
            <a:ahLst/>
            <a:cxnLst>
              <a:cxn ang="0">
                <a:pos x="T0" y="T1"/>
              </a:cxn>
              <a:cxn ang="0">
                <a:pos x="T2" y="T3"/>
              </a:cxn>
              <a:cxn ang="0">
                <a:pos x="T4" y="T5"/>
              </a:cxn>
            </a:cxnLst>
            <a:rect l="0" t="0" r="r" b="b"/>
            <a:pathLst>
              <a:path w="30872" h="21600" fill="none" extrusionOk="0">
                <a:moveTo>
                  <a:pt x="-1" y="6469"/>
                </a:moveTo>
                <a:cubicBezTo>
                  <a:pt x="4061" y="2331"/>
                  <a:pt x="9616" y="0"/>
                  <a:pt x="15415" y="0"/>
                </a:cubicBezTo>
                <a:cubicBezTo>
                  <a:pt x="21234" y="0"/>
                  <a:pt x="26807" y="2347"/>
                  <a:pt x="30871" y="6512"/>
                </a:cubicBezTo>
              </a:path>
              <a:path w="30872" h="21600" stroke="0" extrusionOk="0">
                <a:moveTo>
                  <a:pt x="-1" y="6469"/>
                </a:moveTo>
                <a:cubicBezTo>
                  <a:pt x="4061" y="2331"/>
                  <a:pt x="9616" y="0"/>
                  <a:pt x="15415" y="0"/>
                </a:cubicBezTo>
                <a:cubicBezTo>
                  <a:pt x="21234" y="0"/>
                  <a:pt x="26807" y="2347"/>
                  <a:pt x="30871" y="6512"/>
                </a:cubicBezTo>
                <a:lnTo>
                  <a:pt x="15415" y="21600"/>
                </a:lnTo>
                <a:close/>
              </a:path>
            </a:pathLst>
          </a:custGeom>
          <a:solidFill>
            <a:srgbClr val="FFFFFF"/>
          </a:solidFill>
          <a:ln w="6350">
            <a:solidFill>
              <a:srgbClr val="000000"/>
            </a:solidFill>
            <a:round/>
            <a:headEnd/>
            <a:tailEnd/>
          </a:ln>
        </xdr:spPr>
      </xdr:sp>
      <xdr:sp macro="" textlink="">
        <xdr:nvSpPr>
          <xdr:cNvPr id="842" name="Freeform 99">
            <a:extLst>
              <a:ext uri="{FF2B5EF4-FFF2-40B4-BE49-F238E27FC236}">
                <a16:creationId xmlns:a16="http://schemas.microsoft.com/office/drawing/2014/main" xmlns="" id="{466170A6-9459-4AA4-84E3-5AD922C423C6}"/>
              </a:ext>
            </a:extLst>
          </xdr:cNvPr>
          <xdr:cNvSpPr>
            <a:spLocks/>
          </xdr:cNvSpPr>
        </xdr:nvSpPr>
        <xdr:spPr bwMode="auto">
          <a:xfrm>
            <a:off x="2215713" y="6737556"/>
            <a:ext cx="619" cy="251175"/>
          </a:xfrm>
          <a:custGeom>
            <a:avLst/>
            <a:gdLst>
              <a:gd name="T0" fmla="*/ 377 h 377"/>
              <a:gd name="T1" fmla="*/ 0 h 377"/>
              <a:gd name="T2" fmla="*/ 0 h 377"/>
            </a:gdLst>
            <a:ahLst/>
            <a:cxnLst>
              <a:cxn ang="0">
                <a:pos x="0" y="T0"/>
              </a:cxn>
              <a:cxn ang="0">
                <a:pos x="0" y="T1"/>
              </a:cxn>
              <a:cxn ang="0">
                <a:pos x="0" y="T2"/>
              </a:cxn>
            </a:cxnLst>
            <a:rect l="0" t="0" r="r" b="b"/>
            <a:pathLst>
              <a:path h="377">
                <a:moveTo>
                  <a:pt x="0" y="377"/>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43" name="Freeform 98">
            <a:extLst>
              <a:ext uri="{FF2B5EF4-FFF2-40B4-BE49-F238E27FC236}">
                <a16:creationId xmlns:a16="http://schemas.microsoft.com/office/drawing/2014/main" xmlns="" id="{1E61E87D-7352-4F77-837E-F633D37D0B43}"/>
              </a:ext>
            </a:extLst>
          </xdr:cNvPr>
          <xdr:cNvSpPr>
            <a:spLocks/>
          </xdr:cNvSpPr>
        </xdr:nvSpPr>
        <xdr:spPr bwMode="auto">
          <a:xfrm>
            <a:off x="3224087" y="6737556"/>
            <a:ext cx="619" cy="251175"/>
          </a:xfrm>
          <a:custGeom>
            <a:avLst/>
            <a:gdLst>
              <a:gd name="T0" fmla="*/ 0 h 377"/>
              <a:gd name="T1" fmla="*/ 377 h 377"/>
              <a:gd name="T2" fmla="*/ 377 h 377"/>
            </a:gdLst>
            <a:ahLst/>
            <a:cxnLst>
              <a:cxn ang="0">
                <a:pos x="0" y="T0"/>
              </a:cxn>
              <a:cxn ang="0">
                <a:pos x="0" y="T1"/>
              </a:cxn>
              <a:cxn ang="0">
                <a:pos x="0" y="T2"/>
              </a:cxn>
            </a:cxnLst>
            <a:rect l="0" t="0" r="r" b="b"/>
            <a:pathLst>
              <a:path h="377">
                <a:moveTo>
                  <a:pt x="0" y="0"/>
                </a:moveTo>
                <a:lnTo>
                  <a:pt x="0" y="377"/>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44" name="Arc 97">
            <a:extLst>
              <a:ext uri="{FF2B5EF4-FFF2-40B4-BE49-F238E27FC236}">
                <a16:creationId xmlns:a16="http://schemas.microsoft.com/office/drawing/2014/main" xmlns="" id="{1C56A940-A1D0-4955-9052-4C89A30753EA}"/>
              </a:ext>
            </a:extLst>
          </xdr:cNvPr>
          <xdr:cNvSpPr>
            <a:spLocks/>
          </xdr:cNvSpPr>
        </xdr:nvSpPr>
        <xdr:spPr bwMode="auto">
          <a:xfrm>
            <a:off x="2215093" y="6661662"/>
            <a:ext cx="333450" cy="250781"/>
          </a:xfrm>
          <a:custGeom>
            <a:avLst/>
            <a:gdLst>
              <a:gd name="G0" fmla="+- 15415 0 0"/>
              <a:gd name="G1" fmla="+- 21600 0 0"/>
              <a:gd name="G2" fmla="+- 21600 0 0"/>
              <a:gd name="T0" fmla="*/ 0 w 30858"/>
              <a:gd name="T1" fmla="*/ 6470 h 21600"/>
              <a:gd name="T2" fmla="*/ 30858 w 30858"/>
              <a:gd name="T3" fmla="*/ 6498 h 21600"/>
              <a:gd name="T4" fmla="*/ 15415 w 30858"/>
              <a:gd name="T5" fmla="*/ 21600 h 21600"/>
            </a:gdLst>
            <a:ahLst/>
            <a:cxnLst>
              <a:cxn ang="0">
                <a:pos x="T0" y="T1"/>
              </a:cxn>
              <a:cxn ang="0">
                <a:pos x="T2" y="T3"/>
              </a:cxn>
              <a:cxn ang="0">
                <a:pos x="T4" y="T5"/>
              </a:cxn>
            </a:cxnLst>
            <a:rect l="0" t="0" r="r" b="b"/>
            <a:pathLst>
              <a:path w="30858" h="21600" fill="none" extrusionOk="0">
                <a:moveTo>
                  <a:pt x="-1" y="6469"/>
                </a:moveTo>
                <a:cubicBezTo>
                  <a:pt x="4061" y="2331"/>
                  <a:pt x="9616" y="0"/>
                  <a:pt x="15415" y="0"/>
                </a:cubicBezTo>
                <a:cubicBezTo>
                  <a:pt x="21227" y="0"/>
                  <a:pt x="26794" y="2342"/>
                  <a:pt x="30858" y="6497"/>
                </a:cubicBezTo>
              </a:path>
              <a:path w="30858" h="21600" stroke="0" extrusionOk="0">
                <a:moveTo>
                  <a:pt x="-1" y="6469"/>
                </a:moveTo>
                <a:cubicBezTo>
                  <a:pt x="4061" y="2331"/>
                  <a:pt x="9616" y="0"/>
                  <a:pt x="15415" y="0"/>
                </a:cubicBezTo>
                <a:cubicBezTo>
                  <a:pt x="21227" y="0"/>
                  <a:pt x="26794" y="2342"/>
                  <a:pt x="30858" y="6497"/>
                </a:cubicBezTo>
                <a:lnTo>
                  <a:pt x="15415" y="21600"/>
                </a:lnTo>
                <a:close/>
              </a:path>
            </a:pathLst>
          </a:custGeom>
          <a:solidFill>
            <a:srgbClr val="FFFFFF"/>
          </a:solidFill>
          <a:ln w="6350">
            <a:solidFill>
              <a:srgbClr val="000000"/>
            </a:solidFill>
            <a:round/>
            <a:headEnd/>
            <a:tailEnd/>
          </a:ln>
        </xdr:spPr>
      </xdr:sp>
      <xdr:sp macro="" textlink="">
        <xdr:nvSpPr>
          <xdr:cNvPr id="845" name="Arc 96">
            <a:extLst>
              <a:ext uri="{FF2B5EF4-FFF2-40B4-BE49-F238E27FC236}">
                <a16:creationId xmlns:a16="http://schemas.microsoft.com/office/drawing/2014/main" xmlns="" id="{3DA0CD89-606C-4132-B734-171D377C307A}"/>
              </a:ext>
            </a:extLst>
          </xdr:cNvPr>
          <xdr:cNvSpPr>
            <a:spLocks/>
          </xdr:cNvSpPr>
        </xdr:nvSpPr>
        <xdr:spPr bwMode="auto">
          <a:xfrm>
            <a:off x="2550400" y="6560257"/>
            <a:ext cx="337142" cy="250781"/>
          </a:xfrm>
          <a:custGeom>
            <a:avLst/>
            <a:gdLst>
              <a:gd name="G0" fmla="+- 15373 0 0"/>
              <a:gd name="G1" fmla="+- 0 0 0"/>
              <a:gd name="G2" fmla="+- 21600 0 0"/>
              <a:gd name="T0" fmla="*/ 30774 w 30774"/>
              <a:gd name="T1" fmla="*/ 15145 h 21600"/>
              <a:gd name="T2" fmla="*/ 0 w 30774"/>
              <a:gd name="T3" fmla="*/ 15174 h 21600"/>
              <a:gd name="T4" fmla="*/ 15373 w 30774"/>
              <a:gd name="T5" fmla="*/ 0 h 21600"/>
            </a:gdLst>
            <a:ahLst/>
            <a:cxnLst>
              <a:cxn ang="0">
                <a:pos x="T0" y="T1"/>
              </a:cxn>
              <a:cxn ang="0">
                <a:pos x="T2" y="T3"/>
              </a:cxn>
              <a:cxn ang="0">
                <a:pos x="T4" y="T5"/>
              </a:cxn>
            </a:cxnLst>
            <a:rect l="0" t="0" r="r" b="b"/>
            <a:pathLst>
              <a:path w="30774" h="21600" fill="none" extrusionOk="0">
                <a:moveTo>
                  <a:pt x="30773" y="15144"/>
                </a:moveTo>
                <a:cubicBezTo>
                  <a:pt x="26713" y="19274"/>
                  <a:pt x="21164" y="21599"/>
                  <a:pt x="15373" y="21599"/>
                </a:cubicBezTo>
                <a:cubicBezTo>
                  <a:pt x="9595" y="21599"/>
                  <a:pt x="4058" y="19285"/>
                  <a:pt x="0" y="15173"/>
                </a:cubicBezTo>
              </a:path>
              <a:path w="30774" h="21600" stroke="0" extrusionOk="0">
                <a:moveTo>
                  <a:pt x="30773" y="15144"/>
                </a:moveTo>
                <a:cubicBezTo>
                  <a:pt x="26713" y="19274"/>
                  <a:pt x="21164" y="21599"/>
                  <a:pt x="15373" y="21599"/>
                </a:cubicBezTo>
                <a:cubicBezTo>
                  <a:pt x="9595" y="21599"/>
                  <a:pt x="4058" y="19285"/>
                  <a:pt x="0" y="15173"/>
                </a:cubicBezTo>
                <a:lnTo>
                  <a:pt x="15373" y="0"/>
                </a:lnTo>
                <a:close/>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46" name="Arc 95">
            <a:extLst>
              <a:ext uri="{FF2B5EF4-FFF2-40B4-BE49-F238E27FC236}">
                <a16:creationId xmlns:a16="http://schemas.microsoft.com/office/drawing/2014/main" xmlns="" id="{F5E2FEF8-1ED7-43C2-A6F9-EF60434546E0}"/>
              </a:ext>
            </a:extLst>
          </xdr:cNvPr>
          <xdr:cNvSpPr>
            <a:spLocks/>
          </xdr:cNvSpPr>
        </xdr:nvSpPr>
        <xdr:spPr bwMode="auto">
          <a:xfrm>
            <a:off x="2888781" y="6661662"/>
            <a:ext cx="333449" cy="250781"/>
          </a:xfrm>
          <a:custGeom>
            <a:avLst/>
            <a:gdLst>
              <a:gd name="G0" fmla="+- 15415 0 0"/>
              <a:gd name="G1" fmla="+- 21600 0 0"/>
              <a:gd name="G2" fmla="+- 21600 0 0"/>
              <a:gd name="T0" fmla="*/ 0 w 30872"/>
              <a:gd name="T1" fmla="*/ 6470 h 21600"/>
              <a:gd name="T2" fmla="*/ 30872 w 30872"/>
              <a:gd name="T3" fmla="*/ 6512 h 21600"/>
              <a:gd name="T4" fmla="*/ 15415 w 30872"/>
              <a:gd name="T5" fmla="*/ 21600 h 21600"/>
            </a:gdLst>
            <a:ahLst/>
            <a:cxnLst>
              <a:cxn ang="0">
                <a:pos x="T0" y="T1"/>
              </a:cxn>
              <a:cxn ang="0">
                <a:pos x="T2" y="T3"/>
              </a:cxn>
              <a:cxn ang="0">
                <a:pos x="T4" y="T5"/>
              </a:cxn>
            </a:cxnLst>
            <a:rect l="0" t="0" r="r" b="b"/>
            <a:pathLst>
              <a:path w="30872" h="21600" fill="none" extrusionOk="0">
                <a:moveTo>
                  <a:pt x="-1" y="6469"/>
                </a:moveTo>
                <a:cubicBezTo>
                  <a:pt x="4061" y="2331"/>
                  <a:pt x="9616" y="0"/>
                  <a:pt x="15415" y="0"/>
                </a:cubicBezTo>
                <a:cubicBezTo>
                  <a:pt x="21234" y="0"/>
                  <a:pt x="26807" y="2347"/>
                  <a:pt x="30871" y="6512"/>
                </a:cubicBezTo>
              </a:path>
              <a:path w="30872" h="21600" stroke="0" extrusionOk="0">
                <a:moveTo>
                  <a:pt x="-1" y="6469"/>
                </a:moveTo>
                <a:cubicBezTo>
                  <a:pt x="4061" y="2331"/>
                  <a:pt x="9616" y="0"/>
                  <a:pt x="15415" y="0"/>
                </a:cubicBezTo>
                <a:cubicBezTo>
                  <a:pt x="21234" y="0"/>
                  <a:pt x="26807" y="2347"/>
                  <a:pt x="30871" y="6512"/>
                </a:cubicBezTo>
                <a:lnTo>
                  <a:pt x="15415" y="21600"/>
                </a:lnTo>
                <a:close/>
              </a:path>
            </a:pathLst>
          </a:custGeom>
          <a:solidFill>
            <a:srgbClr val="FFFFFF"/>
          </a:solidFill>
          <a:ln w="6350">
            <a:solidFill>
              <a:srgbClr val="000000"/>
            </a:solidFill>
            <a:round/>
            <a:headEnd/>
            <a:tailEnd/>
          </a:ln>
        </xdr:spPr>
      </xdr:sp>
      <xdr:sp macro="" textlink="">
        <xdr:nvSpPr>
          <xdr:cNvPr id="847" name="Freeform 94">
            <a:extLst>
              <a:ext uri="{FF2B5EF4-FFF2-40B4-BE49-F238E27FC236}">
                <a16:creationId xmlns:a16="http://schemas.microsoft.com/office/drawing/2014/main" xmlns="" id="{5D037822-33A4-43C0-B95B-86C69DBC2187}"/>
              </a:ext>
            </a:extLst>
          </xdr:cNvPr>
          <xdr:cNvSpPr>
            <a:spLocks/>
          </xdr:cNvSpPr>
        </xdr:nvSpPr>
        <xdr:spPr bwMode="auto">
          <a:xfrm>
            <a:off x="676461" y="7163225"/>
            <a:ext cx="2727552" cy="659"/>
          </a:xfrm>
          <a:custGeom>
            <a:avLst/>
            <a:gdLst>
              <a:gd name="T0" fmla="*/ 0 w 4385"/>
              <a:gd name="T1" fmla="*/ 4385 w 4385"/>
              <a:gd name="T2" fmla="*/ 4385 w 4385"/>
            </a:gdLst>
            <a:ahLst/>
            <a:cxnLst>
              <a:cxn ang="0">
                <a:pos x="T0" y="0"/>
              </a:cxn>
              <a:cxn ang="0">
                <a:pos x="T1" y="0"/>
              </a:cxn>
              <a:cxn ang="0">
                <a:pos x="T2" y="0"/>
              </a:cxn>
            </a:cxnLst>
            <a:rect l="0" t="0" r="r" b="b"/>
            <a:pathLst>
              <a:path w="4385">
                <a:moveTo>
                  <a:pt x="0" y="0"/>
                </a:moveTo>
                <a:lnTo>
                  <a:pt x="438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48" name="Freeform 93">
            <a:extLst>
              <a:ext uri="{FF2B5EF4-FFF2-40B4-BE49-F238E27FC236}">
                <a16:creationId xmlns:a16="http://schemas.microsoft.com/office/drawing/2014/main" xmlns="" id="{E8E2D0EC-047E-49F7-A62C-7897FB01D1B4}"/>
              </a:ext>
            </a:extLst>
          </xdr:cNvPr>
          <xdr:cNvSpPr>
            <a:spLocks/>
          </xdr:cNvSpPr>
        </xdr:nvSpPr>
        <xdr:spPr bwMode="auto">
          <a:xfrm>
            <a:off x="676461" y="6461752"/>
            <a:ext cx="2727552" cy="659"/>
          </a:xfrm>
          <a:custGeom>
            <a:avLst/>
            <a:gdLst>
              <a:gd name="T0" fmla="*/ 4385 w 4385"/>
              <a:gd name="T1" fmla="*/ 0 w 4385"/>
              <a:gd name="T2" fmla="*/ 0 w 4385"/>
            </a:gdLst>
            <a:ahLst/>
            <a:cxnLst>
              <a:cxn ang="0">
                <a:pos x="T0" y="0"/>
              </a:cxn>
              <a:cxn ang="0">
                <a:pos x="T1" y="0"/>
              </a:cxn>
              <a:cxn ang="0">
                <a:pos x="T2" y="0"/>
              </a:cxn>
            </a:cxnLst>
            <a:rect l="0" t="0" r="r" b="b"/>
            <a:pathLst>
              <a:path w="4385">
                <a:moveTo>
                  <a:pt x="4385" y="0"/>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49" name="Freeform 92">
            <a:extLst>
              <a:ext uri="{FF2B5EF4-FFF2-40B4-BE49-F238E27FC236}">
                <a16:creationId xmlns:a16="http://schemas.microsoft.com/office/drawing/2014/main" xmlns="" id="{CFABAED7-259F-4356-AECE-1AA7C6D4E597}"/>
              </a:ext>
            </a:extLst>
          </xdr:cNvPr>
          <xdr:cNvSpPr>
            <a:spLocks/>
          </xdr:cNvSpPr>
        </xdr:nvSpPr>
        <xdr:spPr bwMode="auto">
          <a:xfrm>
            <a:off x="856309" y="6988731"/>
            <a:ext cx="994142" cy="659"/>
          </a:xfrm>
          <a:custGeom>
            <a:avLst/>
            <a:gdLst>
              <a:gd name="T0" fmla="*/ 0 w 1966"/>
              <a:gd name="T1" fmla="*/ 1966 w 1966"/>
              <a:gd name="T2" fmla="*/ 1966 w 1966"/>
            </a:gdLst>
            <a:ahLst/>
            <a:cxnLst>
              <a:cxn ang="0">
                <a:pos x="T0" y="0"/>
              </a:cxn>
              <a:cxn ang="0">
                <a:pos x="T1" y="0"/>
              </a:cxn>
              <a:cxn ang="0">
                <a:pos x="T2" y="0"/>
              </a:cxn>
            </a:cxnLst>
            <a:rect l="0" t="0" r="r" b="b"/>
            <a:pathLst>
              <a:path w="1966">
                <a:moveTo>
                  <a:pt x="0" y="0"/>
                </a:moveTo>
                <a:lnTo>
                  <a:pt x="196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51" name="Freeform 90">
            <a:extLst>
              <a:ext uri="{FF2B5EF4-FFF2-40B4-BE49-F238E27FC236}">
                <a16:creationId xmlns:a16="http://schemas.microsoft.com/office/drawing/2014/main" xmlns="" id="{5DC1B237-8ACA-446B-BA54-2A0528AB8A73}"/>
              </a:ext>
            </a:extLst>
          </xdr:cNvPr>
          <xdr:cNvSpPr>
            <a:spLocks/>
          </xdr:cNvSpPr>
        </xdr:nvSpPr>
        <xdr:spPr bwMode="auto">
          <a:xfrm>
            <a:off x="676461" y="7163225"/>
            <a:ext cx="2727552" cy="659"/>
          </a:xfrm>
          <a:custGeom>
            <a:avLst/>
            <a:gdLst>
              <a:gd name="T0" fmla="*/ 0 w 4385"/>
              <a:gd name="T1" fmla="*/ 4385 w 4385"/>
              <a:gd name="T2" fmla="*/ 4385 w 4385"/>
            </a:gdLst>
            <a:ahLst/>
            <a:cxnLst>
              <a:cxn ang="0">
                <a:pos x="T0" y="0"/>
              </a:cxn>
              <a:cxn ang="0">
                <a:pos x="T1" y="0"/>
              </a:cxn>
              <a:cxn ang="0">
                <a:pos x="T2" y="0"/>
              </a:cxn>
            </a:cxnLst>
            <a:rect l="0" t="0" r="r" b="b"/>
            <a:pathLst>
              <a:path w="4385">
                <a:moveTo>
                  <a:pt x="0" y="0"/>
                </a:moveTo>
                <a:lnTo>
                  <a:pt x="438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60" name="Freeform 81">
            <a:extLst>
              <a:ext uri="{FF2B5EF4-FFF2-40B4-BE49-F238E27FC236}">
                <a16:creationId xmlns:a16="http://schemas.microsoft.com/office/drawing/2014/main" xmlns="" id="{F094042E-6A51-40F3-B992-FE18C0B794A6}"/>
              </a:ext>
            </a:extLst>
          </xdr:cNvPr>
          <xdr:cNvSpPr>
            <a:spLocks/>
          </xdr:cNvSpPr>
        </xdr:nvSpPr>
        <xdr:spPr bwMode="auto">
          <a:xfrm>
            <a:off x="2912302" y="6461752"/>
            <a:ext cx="236272" cy="254074"/>
          </a:xfrm>
          <a:custGeom>
            <a:avLst/>
            <a:gdLst>
              <a:gd name="T0" fmla="*/ 0 w 383"/>
              <a:gd name="T1" fmla="*/ 383 h 383"/>
              <a:gd name="T2" fmla="*/ 383 w 383"/>
              <a:gd name="T3" fmla="*/ 0 h 383"/>
              <a:gd name="T4" fmla="*/ 383 w 383"/>
              <a:gd name="T5" fmla="*/ 0 h 383"/>
            </a:gdLst>
            <a:ahLst/>
            <a:cxnLst>
              <a:cxn ang="0">
                <a:pos x="T0" y="T1"/>
              </a:cxn>
              <a:cxn ang="0">
                <a:pos x="T2" y="T3"/>
              </a:cxn>
              <a:cxn ang="0">
                <a:pos x="T4" y="T5"/>
              </a:cxn>
            </a:cxnLst>
            <a:rect l="0" t="0" r="r" b="b"/>
            <a:pathLst>
              <a:path w="383" h="383">
                <a:moveTo>
                  <a:pt x="0" y="383"/>
                </a:moveTo>
                <a:lnTo>
                  <a:pt x="38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61" name="Freeform 80">
            <a:extLst>
              <a:ext uri="{FF2B5EF4-FFF2-40B4-BE49-F238E27FC236}">
                <a16:creationId xmlns:a16="http://schemas.microsoft.com/office/drawing/2014/main" xmlns="" id="{23024012-6F36-4632-B15D-60B8FA63AEF8}"/>
              </a:ext>
            </a:extLst>
          </xdr:cNvPr>
          <xdr:cNvSpPr>
            <a:spLocks/>
          </xdr:cNvSpPr>
        </xdr:nvSpPr>
        <xdr:spPr bwMode="auto">
          <a:xfrm>
            <a:off x="2833693" y="6461752"/>
            <a:ext cx="298168" cy="321631"/>
          </a:xfrm>
          <a:custGeom>
            <a:avLst/>
            <a:gdLst>
              <a:gd name="T0" fmla="*/ 0 w 483"/>
              <a:gd name="T1" fmla="*/ 484 h 484"/>
              <a:gd name="T2" fmla="*/ 483 w 483"/>
              <a:gd name="T3" fmla="*/ 0 h 484"/>
              <a:gd name="T4" fmla="*/ 483 w 483"/>
              <a:gd name="T5" fmla="*/ 0 h 484"/>
            </a:gdLst>
            <a:ahLst/>
            <a:cxnLst>
              <a:cxn ang="0">
                <a:pos x="T0" y="T1"/>
              </a:cxn>
              <a:cxn ang="0">
                <a:pos x="T2" y="T3"/>
              </a:cxn>
              <a:cxn ang="0">
                <a:pos x="T4" y="T5"/>
              </a:cxn>
            </a:cxnLst>
            <a:rect l="0" t="0" r="r" b="b"/>
            <a:pathLst>
              <a:path w="483" h="484">
                <a:moveTo>
                  <a:pt x="0" y="484"/>
                </a:moveTo>
                <a:lnTo>
                  <a:pt x="48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62" name="Freeform 79">
            <a:extLst>
              <a:ext uri="{FF2B5EF4-FFF2-40B4-BE49-F238E27FC236}">
                <a16:creationId xmlns:a16="http://schemas.microsoft.com/office/drawing/2014/main" xmlns="" id="{4D6D9CDB-7071-4070-8087-BF39422F09DA}"/>
              </a:ext>
            </a:extLst>
          </xdr:cNvPr>
          <xdr:cNvSpPr>
            <a:spLocks/>
          </xdr:cNvSpPr>
        </xdr:nvSpPr>
        <xdr:spPr bwMode="auto">
          <a:xfrm>
            <a:off x="2803364" y="6461752"/>
            <a:ext cx="312405" cy="336118"/>
          </a:xfrm>
          <a:custGeom>
            <a:avLst/>
            <a:gdLst>
              <a:gd name="T0" fmla="*/ 0 w 506"/>
              <a:gd name="T1" fmla="*/ 506 h 506"/>
              <a:gd name="T2" fmla="*/ 506 w 506"/>
              <a:gd name="T3" fmla="*/ 0 h 506"/>
              <a:gd name="T4" fmla="*/ 506 w 506"/>
              <a:gd name="T5" fmla="*/ 0 h 506"/>
            </a:gdLst>
            <a:ahLst/>
            <a:cxnLst>
              <a:cxn ang="0">
                <a:pos x="T0" y="T1"/>
              </a:cxn>
              <a:cxn ang="0">
                <a:pos x="T2" y="T3"/>
              </a:cxn>
              <a:cxn ang="0">
                <a:pos x="T4" y="T5"/>
              </a:cxn>
            </a:cxnLst>
            <a:rect l="0" t="0" r="r" b="b"/>
            <a:pathLst>
              <a:path w="506" h="506">
                <a:moveTo>
                  <a:pt x="0" y="506"/>
                </a:moveTo>
                <a:lnTo>
                  <a:pt x="50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63" name="Freeform 78">
            <a:extLst>
              <a:ext uri="{FF2B5EF4-FFF2-40B4-BE49-F238E27FC236}">
                <a16:creationId xmlns:a16="http://schemas.microsoft.com/office/drawing/2014/main" xmlns="" id="{52EB47B3-DBFF-4E52-9815-6D379B0A7AD2}"/>
              </a:ext>
            </a:extLst>
          </xdr:cNvPr>
          <xdr:cNvSpPr>
            <a:spLocks/>
          </xdr:cNvSpPr>
        </xdr:nvSpPr>
        <xdr:spPr bwMode="auto">
          <a:xfrm>
            <a:off x="2362406" y="6461752"/>
            <a:ext cx="187375" cy="201226"/>
          </a:xfrm>
          <a:custGeom>
            <a:avLst/>
            <a:gdLst>
              <a:gd name="T0" fmla="*/ 0 w 304"/>
              <a:gd name="T1" fmla="*/ 304 h 304"/>
              <a:gd name="T2" fmla="*/ 304 w 304"/>
              <a:gd name="T3" fmla="*/ 0 h 304"/>
              <a:gd name="T4" fmla="*/ 304 w 304"/>
              <a:gd name="T5" fmla="*/ 0 h 304"/>
            </a:gdLst>
            <a:ahLst/>
            <a:cxnLst>
              <a:cxn ang="0">
                <a:pos x="T0" y="T1"/>
              </a:cxn>
              <a:cxn ang="0">
                <a:pos x="T2" y="T3"/>
              </a:cxn>
              <a:cxn ang="0">
                <a:pos x="T4" y="T5"/>
              </a:cxn>
            </a:cxnLst>
            <a:rect l="0" t="0" r="r" b="b"/>
            <a:pathLst>
              <a:path w="304" h="304">
                <a:moveTo>
                  <a:pt x="0" y="304"/>
                </a:moveTo>
                <a:lnTo>
                  <a:pt x="30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64" name="Freeform 77">
            <a:extLst>
              <a:ext uri="{FF2B5EF4-FFF2-40B4-BE49-F238E27FC236}">
                <a16:creationId xmlns:a16="http://schemas.microsoft.com/office/drawing/2014/main" xmlns="" id="{F94D6991-D643-42C7-9389-D3EF23F9B77C}"/>
              </a:ext>
            </a:extLst>
          </xdr:cNvPr>
          <xdr:cNvSpPr>
            <a:spLocks/>
          </xdr:cNvSpPr>
        </xdr:nvSpPr>
        <xdr:spPr bwMode="auto">
          <a:xfrm>
            <a:off x="2379738" y="6461752"/>
            <a:ext cx="186757" cy="200569"/>
          </a:xfrm>
          <a:custGeom>
            <a:avLst/>
            <a:gdLst>
              <a:gd name="T0" fmla="*/ 0 w 303"/>
              <a:gd name="T1" fmla="*/ 303 h 303"/>
              <a:gd name="T2" fmla="*/ 303 w 303"/>
              <a:gd name="T3" fmla="*/ 0 h 303"/>
              <a:gd name="T4" fmla="*/ 303 w 303"/>
              <a:gd name="T5" fmla="*/ 0 h 303"/>
            </a:gdLst>
            <a:ahLst/>
            <a:cxnLst>
              <a:cxn ang="0">
                <a:pos x="T0" y="T1"/>
              </a:cxn>
              <a:cxn ang="0">
                <a:pos x="T2" y="T3"/>
              </a:cxn>
              <a:cxn ang="0">
                <a:pos x="T4" y="T5"/>
              </a:cxn>
            </a:cxnLst>
            <a:rect l="0" t="0" r="r" b="b"/>
            <a:pathLst>
              <a:path w="303" h="303">
                <a:moveTo>
                  <a:pt x="0" y="303"/>
                </a:moveTo>
                <a:lnTo>
                  <a:pt x="30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65" name="Freeform 76">
            <a:extLst>
              <a:ext uri="{FF2B5EF4-FFF2-40B4-BE49-F238E27FC236}">
                <a16:creationId xmlns:a16="http://schemas.microsoft.com/office/drawing/2014/main" xmlns="" id="{D8CA6870-1151-4600-A3A9-6F1DEB22C732}"/>
              </a:ext>
            </a:extLst>
          </xdr:cNvPr>
          <xdr:cNvSpPr>
            <a:spLocks/>
          </xdr:cNvSpPr>
        </xdr:nvSpPr>
        <xdr:spPr bwMode="auto">
          <a:xfrm>
            <a:off x="2395042" y="6461752"/>
            <a:ext cx="187545" cy="200569"/>
          </a:xfrm>
          <a:custGeom>
            <a:avLst/>
            <a:gdLst>
              <a:gd name="T0" fmla="*/ 0 w 303"/>
              <a:gd name="T1" fmla="*/ 303 h 303"/>
              <a:gd name="T2" fmla="*/ 303 w 303"/>
              <a:gd name="T3" fmla="*/ 0 h 303"/>
              <a:gd name="T4" fmla="*/ 303 w 303"/>
              <a:gd name="T5" fmla="*/ 0 h 303"/>
            </a:gdLst>
            <a:ahLst/>
            <a:cxnLst>
              <a:cxn ang="0">
                <a:pos x="T0" y="T1"/>
              </a:cxn>
              <a:cxn ang="0">
                <a:pos x="T2" y="T3"/>
              </a:cxn>
              <a:cxn ang="0">
                <a:pos x="T4" y="T5"/>
              </a:cxn>
            </a:cxnLst>
            <a:rect l="0" t="0" r="r" b="b"/>
            <a:pathLst>
              <a:path w="303" h="303">
                <a:moveTo>
                  <a:pt x="0" y="303"/>
                </a:moveTo>
                <a:lnTo>
                  <a:pt x="30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66" name="Freeform 75">
            <a:extLst>
              <a:ext uri="{FF2B5EF4-FFF2-40B4-BE49-F238E27FC236}">
                <a16:creationId xmlns:a16="http://schemas.microsoft.com/office/drawing/2014/main" xmlns="" id="{CED59737-A2DC-464B-B78A-F3007672A82C}"/>
              </a:ext>
            </a:extLst>
          </xdr:cNvPr>
          <xdr:cNvSpPr>
            <a:spLocks/>
          </xdr:cNvSpPr>
        </xdr:nvSpPr>
        <xdr:spPr bwMode="auto">
          <a:xfrm>
            <a:off x="1802439" y="6461752"/>
            <a:ext cx="218920" cy="228883"/>
          </a:xfrm>
          <a:custGeom>
            <a:avLst/>
            <a:gdLst>
              <a:gd name="T0" fmla="*/ 0 w 347"/>
              <a:gd name="T1" fmla="*/ 346 h 346"/>
              <a:gd name="T2" fmla="*/ 347 w 347"/>
              <a:gd name="T3" fmla="*/ 0 h 346"/>
              <a:gd name="T4" fmla="*/ 347 w 347"/>
              <a:gd name="T5" fmla="*/ 0 h 346"/>
            </a:gdLst>
            <a:ahLst/>
            <a:cxnLst>
              <a:cxn ang="0">
                <a:pos x="T0" y="T1"/>
              </a:cxn>
              <a:cxn ang="0">
                <a:pos x="T2" y="T3"/>
              </a:cxn>
              <a:cxn ang="0">
                <a:pos x="T4" y="T5"/>
              </a:cxn>
            </a:cxnLst>
            <a:rect l="0" t="0" r="r" b="b"/>
            <a:pathLst>
              <a:path w="347" h="346">
                <a:moveTo>
                  <a:pt x="0" y="346"/>
                </a:moveTo>
                <a:lnTo>
                  <a:pt x="34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67" name="Freeform 74">
            <a:extLst>
              <a:ext uri="{FF2B5EF4-FFF2-40B4-BE49-F238E27FC236}">
                <a16:creationId xmlns:a16="http://schemas.microsoft.com/office/drawing/2014/main" xmlns="" id="{5AC4DB33-2D20-4F08-9891-E868EC752AED}"/>
              </a:ext>
            </a:extLst>
          </xdr:cNvPr>
          <xdr:cNvSpPr>
            <a:spLocks/>
          </xdr:cNvSpPr>
        </xdr:nvSpPr>
        <xdr:spPr bwMode="auto">
          <a:xfrm>
            <a:off x="1791297" y="6461752"/>
            <a:ext cx="208590" cy="222957"/>
          </a:xfrm>
          <a:custGeom>
            <a:avLst/>
            <a:gdLst>
              <a:gd name="T0" fmla="*/ 0 w 337"/>
              <a:gd name="T1" fmla="*/ 337 h 337"/>
              <a:gd name="T2" fmla="*/ 337 w 337"/>
              <a:gd name="T3" fmla="*/ 0 h 337"/>
              <a:gd name="T4" fmla="*/ 337 w 337"/>
              <a:gd name="T5" fmla="*/ 0 h 337"/>
            </a:gdLst>
            <a:ahLst/>
            <a:cxnLst>
              <a:cxn ang="0">
                <a:pos x="T0" y="T1"/>
              </a:cxn>
              <a:cxn ang="0">
                <a:pos x="T2" y="T3"/>
              </a:cxn>
              <a:cxn ang="0">
                <a:pos x="T4" y="T5"/>
              </a:cxn>
            </a:cxnLst>
            <a:rect l="0" t="0" r="r" b="b"/>
            <a:pathLst>
              <a:path w="337" h="337">
                <a:moveTo>
                  <a:pt x="0" y="337"/>
                </a:moveTo>
                <a:lnTo>
                  <a:pt x="33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68" name="Freeform 73">
            <a:extLst>
              <a:ext uri="{FF2B5EF4-FFF2-40B4-BE49-F238E27FC236}">
                <a16:creationId xmlns:a16="http://schemas.microsoft.com/office/drawing/2014/main" xmlns="" id="{BC2D6E91-DBB5-4261-B87F-F1A2CA56D69F}"/>
              </a:ext>
            </a:extLst>
          </xdr:cNvPr>
          <xdr:cNvSpPr>
            <a:spLocks/>
          </xdr:cNvSpPr>
        </xdr:nvSpPr>
        <xdr:spPr bwMode="auto">
          <a:xfrm>
            <a:off x="1779537" y="6461752"/>
            <a:ext cx="204257" cy="217689"/>
          </a:xfrm>
          <a:custGeom>
            <a:avLst/>
            <a:gdLst>
              <a:gd name="T0" fmla="*/ 0 w 330"/>
              <a:gd name="T1" fmla="*/ 329 h 329"/>
              <a:gd name="T2" fmla="*/ 330 w 330"/>
              <a:gd name="T3" fmla="*/ 0 h 329"/>
              <a:gd name="T4" fmla="*/ 330 w 330"/>
              <a:gd name="T5" fmla="*/ 0 h 329"/>
            </a:gdLst>
            <a:ahLst/>
            <a:cxnLst>
              <a:cxn ang="0">
                <a:pos x="T0" y="T1"/>
              </a:cxn>
              <a:cxn ang="0">
                <a:pos x="T2" y="T3"/>
              </a:cxn>
              <a:cxn ang="0">
                <a:pos x="T4" y="T5"/>
              </a:cxn>
            </a:cxnLst>
            <a:rect l="0" t="0" r="r" b="b"/>
            <a:pathLst>
              <a:path w="330" h="329">
                <a:moveTo>
                  <a:pt x="0" y="329"/>
                </a:moveTo>
                <a:lnTo>
                  <a:pt x="33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69" name="Freeform 72">
            <a:extLst>
              <a:ext uri="{FF2B5EF4-FFF2-40B4-BE49-F238E27FC236}">
                <a16:creationId xmlns:a16="http://schemas.microsoft.com/office/drawing/2014/main" xmlns="" id="{84A8CCB3-D792-4FCA-B32E-45D54BC058AD}"/>
              </a:ext>
            </a:extLst>
          </xdr:cNvPr>
          <xdr:cNvSpPr>
            <a:spLocks/>
          </xdr:cNvSpPr>
        </xdr:nvSpPr>
        <xdr:spPr bwMode="auto">
          <a:xfrm>
            <a:off x="1190028" y="6461752"/>
            <a:ext cx="264725" cy="280147"/>
          </a:xfrm>
          <a:custGeom>
            <a:avLst/>
            <a:gdLst>
              <a:gd name="T0" fmla="*/ 0 w 421"/>
              <a:gd name="T1" fmla="*/ 421 h 421"/>
              <a:gd name="T2" fmla="*/ 421 w 421"/>
              <a:gd name="T3" fmla="*/ 0 h 421"/>
              <a:gd name="T4" fmla="*/ 421 w 421"/>
              <a:gd name="T5" fmla="*/ 0 h 421"/>
            </a:gdLst>
            <a:ahLst/>
            <a:cxnLst>
              <a:cxn ang="0">
                <a:pos x="T0" y="T1"/>
              </a:cxn>
              <a:cxn ang="0">
                <a:pos x="T2" y="T3"/>
              </a:cxn>
              <a:cxn ang="0">
                <a:pos x="T4" y="T5"/>
              </a:cxn>
            </a:cxnLst>
            <a:rect l="0" t="0" r="r" b="b"/>
            <a:pathLst>
              <a:path w="421" h="421">
                <a:moveTo>
                  <a:pt x="0" y="421"/>
                </a:moveTo>
                <a:lnTo>
                  <a:pt x="421"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70" name="Freeform 71">
            <a:extLst>
              <a:ext uri="{FF2B5EF4-FFF2-40B4-BE49-F238E27FC236}">
                <a16:creationId xmlns:a16="http://schemas.microsoft.com/office/drawing/2014/main" xmlns="" id="{DEDFE7B0-D8E5-450E-AFFA-1C875A098238}"/>
              </a:ext>
            </a:extLst>
          </xdr:cNvPr>
          <xdr:cNvSpPr>
            <a:spLocks/>
          </xdr:cNvSpPr>
        </xdr:nvSpPr>
        <xdr:spPr bwMode="auto">
          <a:xfrm>
            <a:off x="1181363" y="6461752"/>
            <a:ext cx="257297" cy="270536"/>
          </a:xfrm>
          <a:custGeom>
            <a:avLst/>
            <a:gdLst>
              <a:gd name="T0" fmla="*/ 0 w 409"/>
              <a:gd name="T1" fmla="*/ 408 h 408"/>
              <a:gd name="T2" fmla="*/ 409 w 409"/>
              <a:gd name="T3" fmla="*/ 0 h 408"/>
              <a:gd name="T4" fmla="*/ 409 w 409"/>
              <a:gd name="T5" fmla="*/ 0 h 408"/>
            </a:gdLst>
            <a:ahLst/>
            <a:cxnLst>
              <a:cxn ang="0">
                <a:pos x="T0" y="T1"/>
              </a:cxn>
              <a:cxn ang="0">
                <a:pos x="T2" y="T3"/>
              </a:cxn>
              <a:cxn ang="0">
                <a:pos x="T4" y="T5"/>
              </a:cxn>
            </a:cxnLst>
            <a:rect l="0" t="0" r="r" b="b"/>
            <a:pathLst>
              <a:path w="409" h="408">
                <a:moveTo>
                  <a:pt x="0" y="408"/>
                </a:moveTo>
                <a:lnTo>
                  <a:pt x="409"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71" name="Freeform 70">
            <a:extLst>
              <a:ext uri="{FF2B5EF4-FFF2-40B4-BE49-F238E27FC236}">
                <a16:creationId xmlns:a16="http://schemas.microsoft.com/office/drawing/2014/main" xmlns="" id="{D9B0AAF3-03CF-41F5-9F15-9631598CC9CE}"/>
              </a:ext>
            </a:extLst>
          </xdr:cNvPr>
          <xdr:cNvSpPr>
            <a:spLocks/>
          </xdr:cNvSpPr>
        </xdr:nvSpPr>
        <xdr:spPr bwMode="auto">
          <a:xfrm>
            <a:off x="1173317" y="6461752"/>
            <a:ext cx="248632" cy="262635"/>
          </a:xfrm>
          <a:custGeom>
            <a:avLst/>
            <a:gdLst>
              <a:gd name="T0" fmla="*/ 0 w 395"/>
              <a:gd name="T1" fmla="*/ 396 h 396"/>
              <a:gd name="T2" fmla="*/ 395 w 395"/>
              <a:gd name="T3" fmla="*/ 0 h 396"/>
              <a:gd name="T4" fmla="*/ 395 w 395"/>
              <a:gd name="T5" fmla="*/ 0 h 396"/>
            </a:gdLst>
            <a:ahLst/>
            <a:cxnLst>
              <a:cxn ang="0">
                <a:pos x="T0" y="T1"/>
              </a:cxn>
              <a:cxn ang="0">
                <a:pos x="T2" y="T3"/>
              </a:cxn>
              <a:cxn ang="0">
                <a:pos x="T4" y="T5"/>
              </a:cxn>
            </a:cxnLst>
            <a:rect l="0" t="0" r="r" b="b"/>
            <a:pathLst>
              <a:path w="395" h="396">
                <a:moveTo>
                  <a:pt x="0" y="396"/>
                </a:moveTo>
                <a:lnTo>
                  <a:pt x="39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72" name="Freeform 69">
            <a:extLst>
              <a:ext uri="{FF2B5EF4-FFF2-40B4-BE49-F238E27FC236}">
                <a16:creationId xmlns:a16="http://schemas.microsoft.com/office/drawing/2014/main" xmlns="" id="{19D14F12-3397-47F0-A548-9F3FB3349BE6}"/>
              </a:ext>
            </a:extLst>
          </xdr:cNvPr>
          <xdr:cNvSpPr>
            <a:spLocks/>
          </xdr:cNvSpPr>
        </xdr:nvSpPr>
        <xdr:spPr bwMode="auto">
          <a:xfrm>
            <a:off x="3224087" y="6760996"/>
            <a:ext cx="179927" cy="186348"/>
          </a:xfrm>
          <a:custGeom>
            <a:avLst/>
            <a:gdLst>
              <a:gd name="T0" fmla="*/ 0 w 284"/>
              <a:gd name="T1" fmla="*/ 283 h 283"/>
              <a:gd name="T2" fmla="*/ 284 w 284"/>
              <a:gd name="T3" fmla="*/ 0 h 283"/>
              <a:gd name="T4" fmla="*/ 284 w 284"/>
              <a:gd name="T5" fmla="*/ 0 h 283"/>
            </a:gdLst>
            <a:ahLst/>
            <a:cxnLst>
              <a:cxn ang="0">
                <a:pos x="T0" y="T1"/>
              </a:cxn>
              <a:cxn ang="0">
                <a:pos x="T2" y="T3"/>
              </a:cxn>
              <a:cxn ang="0">
                <a:pos x="T4" y="T5"/>
              </a:cxn>
            </a:cxnLst>
            <a:rect l="0" t="0" r="r" b="b"/>
            <a:pathLst>
              <a:path w="284" h="283">
                <a:moveTo>
                  <a:pt x="0" y="283"/>
                </a:moveTo>
                <a:lnTo>
                  <a:pt x="28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73" name="Freeform 68">
            <a:extLst>
              <a:ext uri="{FF2B5EF4-FFF2-40B4-BE49-F238E27FC236}">
                <a16:creationId xmlns:a16="http://schemas.microsoft.com/office/drawing/2014/main" xmlns="" id="{C1E3413C-A243-4589-99D4-61E3D3878EDC}"/>
              </a:ext>
            </a:extLst>
          </xdr:cNvPr>
          <xdr:cNvSpPr>
            <a:spLocks/>
          </xdr:cNvSpPr>
        </xdr:nvSpPr>
        <xdr:spPr bwMode="auto">
          <a:xfrm>
            <a:off x="3224087" y="6778116"/>
            <a:ext cx="179927" cy="187176"/>
          </a:xfrm>
          <a:custGeom>
            <a:avLst/>
            <a:gdLst>
              <a:gd name="T0" fmla="*/ 284 w 284"/>
              <a:gd name="T1" fmla="*/ 0 h 283"/>
              <a:gd name="T2" fmla="*/ 0 w 284"/>
              <a:gd name="T3" fmla="*/ 283 h 283"/>
              <a:gd name="T4" fmla="*/ 0 w 284"/>
              <a:gd name="T5" fmla="*/ 283 h 283"/>
            </a:gdLst>
            <a:ahLst/>
            <a:cxnLst>
              <a:cxn ang="0">
                <a:pos x="T0" y="T1"/>
              </a:cxn>
              <a:cxn ang="0">
                <a:pos x="T2" y="T3"/>
              </a:cxn>
              <a:cxn ang="0">
                <a:pos x="T4" y="T5"/>
              </a:cxn>
            </a:cxnLst>
            <a:rect l="0" t="0" r="r" b="b"/>
            <a:pathLst>
              <a:path w="284" h="283">
                <a:moveTo>
                  <a:pt x="284" y="0"/>
                </a:moveTo>
                <a:lnTo>
                  <a:pt x="0" y="283"/>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74" name="Freeform 67">
            <a:extLst>
              <a:ext uri="{FF2B5EF4-FFF2-40B4-BE49-F238E27FC236}">
                <a16:creationId xmlns:a16="http://schemas.microsoft.com/office/drawing/2014/main" xmlns="" id="{27D8844C-80AE-446B-9741-4609D042F716}"/>
              </a:ext>
            </a:extLst>
          </xdr:cNvPr>
          <xdr:cNvSpPr>
            <a:spLocks/>
          </xdr:cNvSpPr>
        </xdr:nvSpPr>
        <xdr:spPr bwMode="auto">
          <a:xfrm>
            <a:off x="3224087" y="6795894"/>
            <a:ext cx="179927" cy="187176"/>
          </a:xfrm>
          <a:custGeom>
            <a:avLst/>
            <a:gdLst>
              <a:gd name="T0" fmla="*/ 0 w 284"/>
              <a:gd name="T1" fmla="*/ 283 h 283"/>
              <a:gd name="T2" fmla="*/ 284 w 284"/>
              <a:gd name="T3" fmla="*/ 0 h 283"/>
              <a:gd name="T4" fmla="*/ 284 w 284"/>
              <a:gd name="T5" fmla="*/ 0 h 283"/>
            </a:gdLst>
            <a:ahLst/>
            <a:cxnLst>
              <a:cxn ang="0">
                <a:pos x="T0" y="T1"/>
              </a:cxn>
              <a:cxn ang="0">
                <a:pos x="T2" y="T3"/>
              </a:cxn>
              <a:cxn ang="0">
                <a:pos x="T4" y="T5"/>
              </a:cxn>
            </a:cxnLst>
            <a:rect l="0" t="0" r="r" b="b"/>
            <a:pathLst>
              <a:path w="284" h="283">
                <a:moveTo>
                  <a:pt x="0" y="283"/>
                </a:moveTo>
                <a:lnTo>
                  <a:pt x="28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78" name="Freeform 63">
            <a:extLst>
              <a:ext uri="{FF2B5EF4-FFF2-40B4-BE49-F238E27FC236}">
                <a16:creationId xmlns:a16="http://schemas.microsoft.com/office/drawing/2014/main" xmlns="" id="{E5706E6B-B47D-4F8C-9683-69805B9B8966}"/>
              </a:ext>
            </a:extLst>
          </xdr:cNvPr>
          <xdr:cNvSpPr>
            <a:spLocks/>
          </xdr:cNvSpPr>
        </xdr:nvSpPr>
        <xdr:spPr bwMode="auto">
          <a:xfrm>
            <a:off x="675224" y="6461752"/>
            <a:ext cx="180736" cy="192667"/>
          </a:xfrm>
          <a:custGeom>
            <a:avLst/>
            <a:gdLst>
              <a:gd name="T0" fmla="*/ 0 w 292"/>
              <a:gd name="T1" fmla="*/ 291 h 291"/>
              <a:gd name="T2" fmla="*/ 292 w 292"/>
              <a:gd name="T3" fmla="*/ 0 h 291"/>
              <a:gd name="T4" fmla="*/ 292 w 292"/>
              <a:gd name="T5" fmla="*/ 0 h 291"/>
            </a:gdLst>
            <a:ahLst/>
            <a:cxnLst>
              <a:cxn ang="0">
                <a:pos x="T0" y="T1"/>
              </a:cxn>
              <a:cxn ang="0">
                <a:pos x="T2" y="T3"/>
              </a:cxn>
              <a:cxn ang="0">
                <a:pos x="T4" y="T5"/>
              </a:cxn>
            </a:cxnLst>
            <a:rect l="0" t="0" r="r" b="b"/>
            <a:pathLst>
              <a:path w="292" h="291">
                <a:moveTo>
                  <a:pt x="0" y="291"/>
                </a:moveTo>
                <a:lnTo>
                  <a:pt x="292"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79" name="Freeform 62">
            <a:extLst>
              <a:ext uri="{FF2B5EF4-FFF2-40B4-BE49-F238E27FC236}">
                <a16:creationId xmlns:a16="http://schemas.microsoft.com/office/drawing/2014/main" xmlns="" id="{455398A0-B80E-4BF3-8526-36FFA12AD78D}"/>
              </a:ext>
            </a:extLst>
          </xdr:cNvPr>
          <xdr:cNvSpPr>
            <a:spLocks/>
          </xdr:cNvSpPr>
        </xdr:nvSpPr>
        <xdr:spPr bwMode="auto">
          <a:xfrm>
            <a:off x="675224" y="6461752"/>
            <a:ext cx="197449" cy="209787"/>
          </a:xfrm>
          <a:custGeom>
            <a:avLst/>
            <a:gdLst>
              <a:gd name="T0" fmla="*/ 319 w 319"/>
              <a:gd name="T1" fmla="*/ 0 h 317"/>
              <a:gd name="T2" fmla="*/ 0 w 319"/>
              <a:gd name="T3" fmla="*/ 317 h 317"/>
              <a:gd name="T4" fmla="*/ 0 w 319"/>
              <a:gd name="T5" fmla="*/ 317 h 317"/>
            </a:gdLst>
            <a:ahLst/>
            <a:cxnLst>
              <a:cxn ang="0">
                <a:pos x="T0" y="T1"/>
              </a:cxn>
              <a:cxn ang="0">
                <a:pos x="T2" y="T3"/>
              </a:cxn>
              <a:cxn ang="0">
                <a:pos x="T4" y="T5"/>
              </a:cxn>
            </a:cxnLst>
            <a:rect l="0" t="0" r="r" b="b"/>
            <a:pathLst>
              <a:path w="319" h="317">
                <a:moveTo>
                  <a:pt x="319" y="0"/>
                </a:moveTo>
                <a:lnTo>
                  <a:pt x="0" y="317"/>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0" name="Freeform 61">
            <a:extLst>
              <a:ext uri="{FF2B5EF4-FFF2-40B4-BE49-F238E27FC236}">
                <a16:creationId xmlns:a16="http://schemas.microsoft.com/office/drawing/2014/main" xmlns="" id="{52B6984F-D336-4474-8BCB-356B4B87F9AE}"/>
              </a:ext>
            </a:extLst>
          </xdr:cNvPr>
          <xdr:cNvSpPr>
            <a:spLocks/>
          </xdr:cNvSpPr>
        </xdr:nvSpPr>
        <xdr:spPr bwMode="auto">
          <a:xfrm>
            <a:off x="675224" y="6461752"/>
            <a:ext cx="214160" cy="227566"/>
          </a:xfrm>
          <a:custGeom>
            <a:avLst/>
            <a:gdLst>
              <a:gd name="T0" fmla="*/ 0 w 346"/>
              <a:gd name="T1" fmla="*/ 344 h 344"/>
              <a:gd name="T2" fmla="*/ 346 w 346"/>
              <a:gd name="T3" fmla="*/ 0 h 344"/>
              <a:gd name="T4" fmla="*/ 346 w 346"/>
              <a:gd name="T5" fmla="*/ 0 h 344"/>
            </a:gdLst>
            <a:ahLst/>
            <a:cxnLst>
              <a:cxn ang="0">
                <a:pos x="T0" y="T1"/>
              </a:cxn>
              <a:cxn ang="0">
                <a:pos x="T2" y="T3"/>
              </a:cxn>
              <a:cxn ang="0">
                <a:pos x="T4" y="T5"/>
              </a:cxn>
            </a:cxnLst>
            <a:rect l="0" t="0" r="r" b="b"/>
            <a:pathLst>
              <a:path w="346" h="344">
                <a:moveTo>
                  <a:pt x="0" y="344"/>
                </a:moveTo>
                <a:lnTo>
                  <a:pt x="34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1" name="Freeform 60">
            <a:extLst>
              <a:ext uri="{FF2B5EF4-FFF2-40B4-BE49-F238E27FC236}">
                <a16:creationId xmlns:a16="http://schemas.microsoft.com/office/drawing/2014/main" xmlns="" id="{4F21B0A7-D73D-4317-9EE4-363E05E1B55C}"/>
              </a:ext>
            </a:extLst>
          </xdr:cNvPr>
          <xdr:cNvSpPr>
            <a:spLocks/>
          </xdr:cNvSpPr>
        </xdr:nvSpPr>
        <xdr:spPr bwMode="auto">
          <a:xfrm>
            <a:off x="1870618" y="6820916"/>
            <a:ext cx="346141" cy="342338"/>
          </a:xfrm>
          <a:custGeom>
            <a:avLst/>
            <a:gdLst>
              <a:gd name="T0" fmla="*/ 0 w 253"/>
              <a:gd name="T1" fmla="*/ 252 h 252"/>
              <a:gd name="T2" fmla="*/ 253 w 253"/>
              <a:gd name="T3" fmla="*/ 0 h 252"/>
              <a:gd name="T4" fmla="*/ 253 w 253"/>
              <a:gd name="T5" fmla="*/ 0 h 252"/>
            </a:gdLst>
            <a:ahLst/>
            <a:cxnLst>
              <a:cxn ang="0">
                <a:pos x="T0" y="T1"/>
              </a:cxn>
              <a:cxn ang="0">
                <a:pos x="T2" y="T3"/>
              </a:cxn>
              <a:cxn ang="0">
                <a:pos x="T4" y="T5"/>
              </a:cxn>
            </a:cxnLst>
            <a:rect l="0" t="0" r="r" b="b"/>
            <a:pathLst>
              <a:path w="253" h="252">
                <a:moveTo>
                  <a:pt x="0" y="252"/>
                </a:moveTo>
                <a:lnTo>
                  <a:pt x="25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2" name="Freeform 59">
            <a:extLst>
              <a:ext uri="{FF2B5EF4-FFF2-40B4-BE49-F238E27FC236}">
                <a16:creationId xmlns:a16="http://schemas.microsoft.com/office/drawing/2014/main" xmlns="" id="{724126D5-A046-40AA-83E3-F7E0B2788430}"/>
              </a:ext>
            </a:extLst>
          </xdr:cNvPr>
          <xdr:cNvSpPr>
            <a:spLocks/>
          </xdr:cNvSpPr>
        </xdr:nvSpPr>
        <xdr:spPr bwMode="auto">
          <a:xfrm>
            <a:off x="1887329" y="6838695"/>
            <a:ext cx="328141" cy="324559"/>
          </a:xfrm>
          <a:custGeom>
            <a:avLst/>
            <a:gdLst>
              <a:gd name="T0" fmla="*/ 226 w 226"/>
              <a:gd name="T1" fmla="*/ 0 h 225"/>
              <a:gd name="T2" fmla="*/ 0 w 226"/>
              <a:gd name="T3" fmla="*/ 225 h 225"/>
              <a:gd name="T4" fmla="*/ 0 w 226"/>
              <a:gd name="T5" fmla="*/ 225 h 225"/>
            </a:gdLst>
            <a:ahLst/>
            <a:cxnLst>
              <a:cxn ang="0">
                <a:pos x="T0" y="T1"/>
              </a:cxn>
              <a:cxn ang="0">
                <a:pos x="T2" y="T3"/>
              </a:cxn>
              <a:cxn ang="0">
                <a:pos x="T4" y="T5"/>
              </a:cxn>
            </a:cxnLst>
            <a:rect l="0" t="0" r="r" b="b"/>
            <a:pathLst>
              <a:path w="226" h="225">
                <a:moveTo>
                  <a:pt x="226" y="0"/>
                </a:moveTo>
                <a:lnTo>
                  <a:pt x="0" y="225"/>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3" name="Freeform 58">
            <a:extLst>
              <a:ext uri="{FF2B5EF4-FFF2-40B4-BE49-F238E27FC236}">
                <a16:creationId xmlns:a16="http://schemas.microsoft.com/office/drawing/2014/main" xmlns="" id="{E30CF6A0-94E5-4B1F-94D5-9A7432C7D406}"/>
              </a:ext>
            </a:extLst>
          </xdr:cNvPr>
          <xdr:cNvSpPr>
            <a:spLocks/>
          </xdr:cNvSpPr>
        </xdr:nvSpPr>
        <xdr:spPr bwMode="auto">
          <a:xfrm>
            <a:off x="1903423" y="6855815"/>
            <a:ext cx="313741" cy="307439"/>
          </a:xfrm>
          <a:custGeom>
            <a:avLst/>
            <a:gdLst>
              <a:gd name="T0" fmla="*/ 0 w 200"/>
              <a:gd name="T1" fmla="*/ 199 h 199"/>
              <a:gd name="T2" fmla="*/ 200 w 200"/>
              <a:gd name="T3" fmla="*/ 0 h 199"/>
              <a:gd name="T4" fmla="*/ 200 w 200"/>
              <a:gd name="T5" fmla="*/ 0 h 199"/>
            </a:gdLst>
            <a:ahLst/>
            <a:cxnLst>
              <a:cxn ang="0">
                <a:pos x="T0" y="T1"/>
              </a:cxn>
              <a:cxn ang="0">
                <a:pos x="T2" y="T3"/>
              </a:cxn>
              <a:cxn ang="0">
                <a:pos x="T4" y="T5"/>
              </a:cxn>
            </a:cxnLst>
            <a:rect l="0" t="0" r="r" b="b"/>
            <a:pathLst>
              <a:path w="200" h="199">
                <a:moveTo>
                  <a:pt x="0" y="199"/>
                </a:moveTo>
                <a:lnTo>
                  <a:pt x="20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4" name="Freeform 57">
            <a:extLst>
              <a:ext uri="{FF2B5EF4-FFF2-40B4-BE49-F238E27FC236}">
                <a16:creationId xmlns:a16="http://schemas.microsoft.com/office/drawing/2014/main" xmlns="" id="{55519244-6768-427A-AEBE-BA3B2D028C53}"/>
              </a:ext>
            </a:extLst>
          </xdr:cNvPr>
          <xdr:cNvSpPr>
            <a:spLocks/>
          </xdr:cNvSpPr>
        </xdr:nvSpPr>
        <xdr:spPr bwMode="auto">
          <a:xfrm>
            <a:off x="3387302" y="7144788"/>
            <a:ext cx="17331" cy="18437"/>
          </a:xfrm>
          <a:custGeom>
            <a:avLst/>
            <a:gdLst>
              <a:gd name="T0" fmla="*/ 0 w 28"/>
              <a:gd name="T1" fmla="*/ 28 h 28"/>
              <a:gd name="T2" fmla="*/ 28 w 28"/>
              <a:gd name="T3" fmla="*/ 0 h 28"/>
              <a:gd name="T4" fmla="*/ 28 w 28"/>
              <a:gd name="T5" fmla="*/ 0 h 28"/>
            </a:gdLst>
            <a:ahLst/>
            <a:cxnLst>
              <a:cxn ang="0">
                <a:pos x="T0" y="T1"/>
              </a:cxn>
              <a:cxn ang="0">
                <a:pos x="T2" y="T3"/>
              </a:cxn>
              <a:cxn ang="0">
                <a:pos x="T4" y="T5"/>
              </a:cxn>
            </a:cxnLst>
            <a:rect l="0" t="0" r="r" b="b"/>
            <a:pathLst>
              <a:path w="28" h="28">
                <a:moveTo>
                  <a:pt x="0" y="28"/>
                </a:moveTo>
                <a:lnTo>
                  <a:pt x="28"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5" name="Freeform 56">
            <a:extLst>
              <a:ext uri="{FF2B5EF4-FFF2-40B4-BE49-F238E27FC236}">
                <a16:creationId xmlns:a16="http://schemas.microsoft.com/office/drawing/2014/main" xmlns="" id="{7C017AF1-1656-4A37-8C5A-7587745C8933}"/>
              </a:ext>
            </a:extLst>
          </xdr:cNvPr>
          <xdr:cNvSpPr>
            <a:spLocks/>
          </xdr:cNvSpPr>
        </xdr:nvSpPr>
        <xdr:spPr bwMode="auto">
          <a:xfrm>
            <a:off x="3371209" y="7127009"/>
            <a:ext cx="33424" cy="36216"/>
          </a:xfrm>
          <a:custGeom>
            <a:avLst/>
            <a:gdLst>
              <a:gd name="T0" fmla="*/ 0 w 54"/>
              <a:gd name="T1" fmla="*/ 55 h 55"/>
              <a:gd name="T2" fmla="*/ 54 w 54"/>
              <a:gd name="T3" fmla="*/ 0 h 55"/>
              <a:gd name="T4" fmla="*/ 54 w 54"/>
              <a:gd name="T5" fmla="*/ 0 h 55"/>
            </a:gdLst>
            <a:ahLst/>
            <a:cxnLst>
              <a:cxn ang="0">
                <a:pos x="T0" y="T1"/>
              </a:cxn>
              <a:cxn ang="0">
                <a:pos x="T2" y="T3"/>
              </a:cxn>
              <a:cxn ang="0">
                <a:pos x="T4" y="T5"/>
              </a:cxn>
            </a:cxnLst>
            <a:rect l="0" t="0" r="r" b="b"/>
            <a:pathLst>
              <a:path w="54" h="55">
                <a:moveTo>
                  <a:pt x="0" y="55"/>
                </a:moveTo>
                <a:lnTo>
                  <a:pt x="5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6" name="Line 12">
            <a:extLst>
              <a:ext uri="{FF2B5EF4-FFF2-40B4-BE49-F238E27FC236}">
                <a16:creationId xmlns:a16="http://schemas.microsoft.com/office/drawing/2014/main" xmlns="" id="{C55F45B7-7400-49B5-846E-557C8F1DC71D}"/>
              </a:ext>
            </a:extLst>
          </xdr:cNvPr>
          <xdr:cNvSpPr>
            <a:spLocks noChangeShapeType="1"/>
          </xdr:cNvSpPr>
        </xdr:nvSpPr>
        <xdr:spPr bwMode="auto">
          <a:xfrm flipH="1">
            <a:off x="2632104" y="6464386"/>
            <a:ext cx="0" cy="518684"/>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887" name="Text Box 11">
            <a:extLst>
              <a:ext uri="{FF2B5EF4-FFF2-40B4-BE49-F238E27FC236}">
                <a16:creationId xmlns:a16="http://schemas.microsoft.com/office/drawing/2014/main" xmlns="" id="{75775863-8B9F-42CD-8352-FE5731FEA597}"/>
              </a:ext>
            </a:extLst>
          </xdr:cNvPr>
          <xdr:cNvSpPr txBox="1">
            <a:spLocks noChangeArrowheads="1"/>
          </xdr:cNvSpPr>
        </xdr:nvSpPr>
        <xdr:spPr bwMode="auto">
          <a:xfrm>
            <a:off x="2634580" y="6542479"/>
            <a:ext cx="177450" cy="155400"/>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hh</a:t>
            </a:r>
          </a:p>
        </xdr:txBody>
      </xdr:sp>
      <xdr:sp macro="" textlink="">
        <xdr:nvSpPr>
          <xdr:cNvPr id="889" name="Text Box 9">
            <a:extLst>
              <a:ext uri="{FF2B5EF4-FFF2-40B4-BE49-F238E27FC236}">
                <a16:creationId xmlns:a16="http://schemas.microsoft.com/office/drawing/2014/main" xmlns="" id="{9E5E404A-14F4-4D46-A7A5-29446C57D98A}"/>
              </a:ext>
            </a:extLst>
          </xdr:cNvPr>
          <xdr:cNvSpPr txBox="1">
            <a:spLocks noChangeArrowheads="1"/>
          </xdr:cNvSpPr>
        </xdr:nvSpPr>
        <xdr:spPr bwMode="auto">
          <a:xfrm>
            <a:off x="2647578" y="6999266"/>
            <a:ext cx="103175" cy="155400"/>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h</a:t>
            </a:r>
          </a:p>
        </xdr:txBody>
      </xdr:sp>
      <xdr:sp macro="" textlink="">
        <xdr:nvSpPr>
          <xdr:cNvPr id="892" name="Line 6">
            <a:extLst>
              <a:ext uri="{FF2B5EF4-FFF2-40B4-BE49-F238E27FC236}">
                <a16:creationId xmlns:a16="http://schemas.microsoft.com/office/drawing/2014/main" xmlns="" id="{BD31DAB6-4A43-48E4-8BC9-D782D5D0EDF8}"/>
              </a:ext>
            </a:extLst>
          </xdr:cNvPr>
          <xdr:cNvSpPr>
            <a:spLocks noChangeShapeType="1"/>
          </xdr:cNvSpPr>
        </xdr:nvSpPr>
        <xdr:spPr bwMode="auto">
          <a:xfrm flipH="1">
            <a:off x="1861240" y="6942734"/>
            <a:ext cx="353235" cy="0"/>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893" name="Text Box 5">
            <a:extLst>
              <a:ext uri="{FF2B5EF4-FFF2-40B4-BE49-F238E27FC236}">
                <a16:creationId xmlns:a16="http://schemas.microsoft.com/office/drawing/2014/main" xmlns="" id="{2FD442F9-C78A-46F5-A930-9E8EF24D7A60}"/>
              </a:ext>
            </a:extLst>
          </xdr:cNvPr>
          <xdr:cNvSpPr txBox="1">
            <a:spLocks noChangeArrowheads="1"/>
          </xdr:cNvSpPr>
        </xdr:nvSpPr>
        <xdr:spPr bwMode="auto">
          <a:xfrm>
            <a:off x="1942324" y="6774823"/>
            <a:ext cx="207160" cy="155400"/>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BB</a:t>
            </a:r>
          </a:p>
        </xdr:txBody>
      </xdr:sp>
      <xdr:sp macro="" textlink="">
        <xdr:nvSpPr>
          <xdr:cNvPr id="895" name="Line 3">
            <a:extLst>
              <a:ext uri="{FF2B5EF4-FFF2-40B4-BE49-F238E27FC236}">
                <a16:creationId xmlns:a16="http://schemas.microsoft.com/office/drawing/2014/main" xmlns="" id="{1C7F293B-E5EA-4153-81F8-2832498E475A}"/>
              </a:ext>
            </a:extLst>
          </xdr:cNvPr>
          <xdr:cNvSpPr>
            <a:spLocks noChangeShapeType="1"/>
          </xdr:cNvSpPr>
        </xdr:nvSpPr>
        <xdr:spPr bwMode="auto">
          <a:xfrm flipH="1" flipV="1">
            <a:off x="856579" y="6942075"/>
            <a:ext cx="1005279" cy="0"/>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896" name="Text Box 2">
            <a:extLst>
              <a:ext uri="{FF2B5EF4-FFF2-40B4-BE49-F238E27FC236}">
                <a16:creationId xmlns:a16="http://schemas.microsoft.com/office/drawing/2014/main" xmlns="" id="{F3E5DF3F-28A2-4738-9C5B-8CAD0F797C6E}"/>
              </a:ext>
            </a:extLst>
          </xdr:cNvPr>
          <xdr:cNvSpPr txBox="1">
            <a:spLocks noChangeArrowheads="1"/>
          </xdr:cNvSpPr>
        </xdr:nvSpPr>
        <xdr:spPr bwMode="auto">
          <a:xfrm>
            <a:off x="1300204" y="6797212"/>
            <a:ext cx="115555" cy="1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B</a:t>
            </a:r>
          </a:p>
        </xdr:txBody>
      </xdr:sp>
      <xdr:sp macro="" textlink="">
        <xdr:nvSpPr>
          <xdr:cNvPr id="897" name="Line 8">
            <a:extLst>
              <a:ext uri="{FF2B5EF4-FFF2-40B4-BE49-F238E27FC236}">
                <a16:creationId xmlns:a16="http://schemas.microsoft.com/office/drawing/2014/main" xmlns="" id="{34B85A18-FDEE-4ADE-99CD-28517243B7EB}"/>
              </a:ext>
            </a:extLst>
          </xdr:cNvPr>
          <xdr:cNvSpPr>
            <a:spLocks noChangeShapeType="1"/>
          </xdr:cNvSpPr>
        </xdr:nvSpPr>
        <xdr:spPr bwMode="auto">
          <a:xfrm flipH="1">
            <a:off x="2384982" y="6666282"/>
            <a:ext cx="0" cy="302756"/>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898" name="Text Box 7">
            <a:extLst>
              <a:ext uri="{FF2B5EF4-FFF2-40B4-BE49-F238E27FC236}">
                <a16:creationId xmlns:a16="http://schemas.microsoft.com/office/drawing/2014/main" xmlns="" id="{97607117-78E1-4E5D-BC34-0291D773ADC7}"/>
              </a:ext>
            </a:extLst>
          </xdr:cNvPr>
          <xdr:cNvSpPr txBox="1">
            <a:spLocks noChangeArrowheads="1"/>
          </xdr:cNvSpPr>
        </xdr:nvSpPr>
        <xdr:spPr bwMode="auto">
          <a:xfrm>
            <a:off x="2412025" y="6744773"/>
            <a:ext cx="194925" cy="155400"/>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h</a:t>
            </a:r>
            <a:r>
              <a:rPr lang="en-US" altLang="ja-JP" sz="1000" b="0" i="0" u="none" strike="noStrike" baseline="0">
                <a:solidFill>
                  <a:srgbClr val="FF0000"/>
                </a:solidFill>
                <a:latin typeface="Arial"/>
                <a:cs typeface="Arial"/>
              </a:rPr>
              <a:t>C</a:t>
            </a:r>
          </a:p>
        </xdr:txBody>
      </xdr:sp>
      <xdr:sp macro="" textlink="">
        <xdr:nvSpPr>
          <xdr:cNvPr id="899" name="Freeform 92">
            <a:extLst>
              <a:ext uri="{FF2B5EF4-FFF2-40B4-BE49-F238E27FC236}">
                <a16:creationId xmlns:a16="http://schemas.microsoft.com/office/drawing/2014/main" xmlns="" id="{CFABAED7-259F-4356-AECE-1AA7C6D4E597}"/>
              </a:ext>
            </a:extLst>
          </xdr:cNvPr>
          <xdr:cNvSpPr>
            <a:spLocks/>
          </xdr:cNvSpPr>
        </xdr:nvSpPr>
        <xdr:spPr bwMode="auto">
          <a:xfrm>
            <a:off x="2225938" y="6990337"/>
            <a:ext cx="994141" cy="659"/>
          </a:xfrm>
          <a:custGeom>
            <a:avLst/>
            <a:gdLst>
              <a:gd name="T0" fmla="*/ 0 w 1966"/>
              <a:gd name="T1" fmla="*/ 1966 w 1966"/>
              <a:gd name="T2" fmla="*/ 1966 w 1966"/>
            </a:gdLst>
            <a:ahLst/>
            <a:cxnLst>
              <a:cxn ang="0">
                <a:pos x="T0" y="0"/>
              </a:cxn>
              <a:cxn ang="0">
                <a:pos x="T1" y="0"/>
              </a:cxn>
              <a:cxn ang="0">
                <a:pos x="T2" y="0"/>
              </a:cxn>
            </a:cxnLst>
            <a:rect l="0" t="0" r="r" b="b"/>
            <a:pathLst>
              <a:path w="1966">
                <a:moveTo>
                  <a:pt x="0" y="0"/>
                </a:moveTo>
                <a:lnTo>
                  <a:pt x="196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00" name="Freeform 60">
            <a:extLst>
              <a:ext uri="{FF2B5EF4-FFF2-40B4-BE49-F238E27FC236}">
                <a16:creationId xmlns:a16="http://schemas.microsoft.com/office/drawing/2014/main" xmlns="" id="{4F21B0A7-D73D-4317-9EE4-363E05E1B55C}"/>
              </a:ext>
            </a:extLst>
          </xdr:cNvPr>
          <xdr:cNvSpPr>
            <a:spLocks/>
          </xdr:cNvSpPr>
        </xdr:nvSpPr>
        <xdr:spPr bwMode="auto">
          <a:xfrm>
            <a:off x="743755" y="6982136"/>
            <a:ext cx="180000" cy="180000"/>
          </a:xfrm>
          <a:custGeom>
            <a:avLst/>
            <a:gdLst>
              <a:gd name="T0" fmla="*/ 0 w 253"/>
              <a:gd name="T1" fmla="*/ 252 h 252"/>
              <a:gd name="T2" fmla="*/ 253 w 253"/>
              <a:gd name="T3" fmla="*/ 0 h 252"/>
              <a:gd name="T4" fmla="*/ 253 w 253"/>
              <a:gd name="T5" fmla="*/ 0 h 252"/>
            </a:gdLst>
            <a:ahLst/>
            <a:cxnLst>
              <a:cxn ang="0">
                <a:pos x="T0" y="T1"/>
              </a:cxn>
              <a:cxn ang="0">
                <a:pos x="T2" y="T3"/>
              </a:cxn>
              <a:cxn ang="0">
                <a:pos x="T4" y="T5"/>
              </a:cxn>
            </a:cxnLst>
            <a:rect l="0" t="0" r="r" b="b"/>
            <a:pathLst>
              <a:path w="253" h="252">
                <a:moveTo>
                  <a:pt x="0" y="252"/>
                </a:moveTo>
                <a:lnTo>
                  <a:pt x="25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01" name="Freeform 59">
            <a:extLst>
              <a:ext uri="{FF2B5EF4-FFF2-40B4-BE49-F238E27FC236}">
                <a16:creationId xmlns:a16="http://schemas.microsoft.com/office/drawing/2014/main" xmlns="" id="{724126D5-A046-40AA-83E3-F7E0B2788430}"/>
              </a:ext>
            </a:extLst>
          </xdr:cNvPr>
          <xdr:cNvSpPr>
            <a:spLocks/>
          </xdr:cNvSpPr>
        </xdr:nvSpPr>
        <xdr:spPr bwMode="auto">
          <a:xfrm>
            <a:off x="760466" y="6984555"/>
            <a:ext cx="180000" cy="180000"/>
          </a:xfrm>
          <a:custGeom>
            <a:avLst/>
            <a:gdLst>
              <a:gd name="T0" fmla="*/ 226 w 226"/>
              <a:gd name="T1" fmla="*/ 0 h 225"/>
              <a:gd name="T2" fmla="*/ 0 w 226"/>
              <a:gd name="T3" fmla="*/ 225 h 225"/>
              <a:gd name="T4" fmla="*/ 0 w 226"/>
              <a:gd name="T5" fmla="*/ 225 h 225"/>
            </a:gdLst>
            <a:ahLst/>
            <a:cxnLst>
              <a:cxn ang="0">
                <a:pos x="T0" y="T1"/>
              </a:cxn>
              <a:cxn ang="0">
                <a:pos x="T2" y="T3"/>
              </a:cxn>
              <a:cxn ang="0">
                <a:pos x="T4" y="T5"/>
              </a:cxn>
            </a:cxnLst>
            <a:rect l="0" t="0" r="r" b="b"/>
            <a:pathLst>
              <a:path w="226" h="225">
                <a:moveTo>
                  <a:pt x="226" y="0"/>
                </a:moveTo>
                <a:lnTo>
                  <a:pt x="0" y="225"/>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02" name="Freeform 58">
            <a:extLst>
              <a:ext uri="{FF2B5EF4-FFF2-40B4-BE49-F238E27FC236}">
                <a16:creationId xmlns:a16="http://schemas.microsoft.com/office/drawing/2014/main" xmlns="" id="{E30CF6A0-94E5-4B1F-94D5-9A7432C7D406}"/>
              </a:ext>
            </a:extLst>
          </xdr:cNvPr>
          <xdr:cNvSpPr>
            <a:spLocks/>
          </xdr:cNvSpPr>
        </xdr:nvSpPr>
        <xdr:spPr bwMode="auto">
          <a:xfrm>
            <a:off x="776560" y="6986306"/>
            <a:ext cx="180000" cy="180000"/>
          </a:xfrm>
          <a:custGeom>
            <a:avLst/>
            <a:gdLst>
              <a:gd name="T0" fmla="*/ 0 w 200"/>
              <a:gd name="T1" fmla="*/ 199 h 199"/>
              <a:gd name="T2" fmla="*/ 200 w 200"/>
              <a:gd name="T3" fmla="*/ 0 h 199"/>
              <a:gd name="T4" fmla="*/ 200 w 200"/>
              <a:gd name="T5" fmla="*/ 0 h 199"/>
            </a:gdLst>
            <a:ahLst/>
            <a:cxnLst>
              <a:cxn ang="0">
                <a:pos x="T0" y="T1"/>
              </a:cxn>
              <a:cxn ang="0">
                <a:pos x="T2" y="T3"/>
              </a:cxn>
              <a:cxn ang="0">
                <a:pos x="T4" y="T5"/>
              </a:cxn>
            </a:cxnLst>
            <a:rect l="0" t="0" r="r" b="b"/>
            <a:pathLst>
              <a:path w="200" h="199">
                <a:moveTo>
                  <a:pt x="0" y="199"/>
                </a:moveTo>
                <a:lnTo>
                  <a:pt x="20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03" name="Freeform 60">
            <a:extLst>
              <a:ext uri="{FF2B5EF4-FFF2-40B4-BE49-F238E27FC236}">
                <a16:creationId xmlns:a16="http://schemas.microsoft.com/office/drawing/2014/main" xmlns="" id="{4F21B0A7-D73D-4317-9EE4-363E05E1B55C}"/>
              </a:ext>
            </a:extLst>
          </xdr:cNvPr>
          <xdr:cNvSpPr>
            <a:spLocks/>
          </xdr:cNvSpPr>
        </xdr:nvSpPr>
        <xdr:spPr bwMode="auto">
          <a:xfrm>
            <a:off x="1342746" y="6987052"/>
            <a:ext cx="180000" cy="180000"/>
          </a:xfrm>
          <a:custGeom>
            <a:avLst/>
            <a:gdLst>
              <a:gd name="T0" fmla="*/ 0 w 253"/>
              <a:gd name="T1" fmla="*/ 252 h 252"/>
              <a:gd name="T2" fmla="*/ 253 w 253"/>
              <a:gd name="T3" fmla="*/ 0 h 252"/>
              <a:gd name="T4" fmla="*/ 253 w 253"/>
              <a:gd name="T5" fmla="*/ 0 h 252"/>
            </a:gdLst>
            <a:ahLst/>
            <a:cxnLst>
              <a:cxn ang="0">
                <a:pos x="T0" y="T1"/>
              </a:cxn>
              <a:cxn ang="0">
                <a:pos x="T2" y="T3"/>
              </a:cxn>
              <a:cxn ang="0">
                <a:pos x="T4" y="T5"/>
              </a:cxn>
            </a:cxnLst>
            <a:rect l="0" t="0" r="r" b="b"/>
            <a:pathLst>
              <a:path w="253" h="252">
                <a:moveTo>
                  <a:pt x="0" y="252"/>
                </a:moveTo>
                <a:lnTo>
                  <a:pt x="25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04" name="Freeform 59">
            <a:extLst>
              <a:ext uri="{FF2B5EF4-FFF2-40B4-BE49-F238E27FC236}">
                <a16:creationId xmlns:a16="http://schemas.microsoft.com/office/drawing/2014/main" xmlns="" id="{724126D5-A046-40AA-83E3-F7E0B2788430}"/>
              </a:ext>
            </a:extLst>
          </xdr:cNvPr>
          <xdr:cNvSpPr>
            <a:spLocks/>
          </xdr:cNvSpPr>
        </xdr:nvSpPr>
        <xdr:spPr bwMode="auto">
          <a:xfrm>
            <a:off x="1359457" y="6987052"/>
            <a:ext cx="180000" cy="180000"/>
          </a:xfrm>
          <a:custGeom>
            <a:avLst/>
            <a:gdLst>
              <a:gd name="T0" fmla="*/ 226 w 226"/>
              <a:gd name="T1" fmla="*/ 0 h 225"/>
              <a:gd name="T2" fmla="*/ 0 w 226"/>
              <a:gd name="T3" fmla="*/ 225 h 225"/>
              <a:gd name="T4" fmla="*/ 0 w 226"/>
              <a:gd name="T5" fmla="*/ 225 h 225"/>
            </a:gdLst>
            <a:ahLst/>
            <a:cxnLst>
              <a:cxn ang="0">
                <a:pos x="T0" y="T1"/>
              </a:cxn>
              <a:cxn ang="0">
                <a:pos x="T2" y="T3"/>
              </a:cxn>
              <a:cxn ang="0">
                <a:pos x="T4" y="T5"/>
              </a:cxn>
            </a:cxnLst>
            <a:rect l="0" t="0" r="r" b="b"/>
            <a:pathLst>
              <a:path w="226" h="225">
                <a:moveTo>
                  <a:pt x="226" y="0"/>
                </a:moveTo>
                <a:lnTo>
                  <a:pt x="0" y="225"/>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05" name="Freeform 58">
            <a:extLst>
              <a:ext uri="{FF2B5EF4-FFF2-40B4-BE49-F238E27FC236}">
                <a16:creationId xmlns:a16="http://schemas.microsoft.com/office/drawing/2014/main" xmlns="" id="{E30CF6A0-94E5-4B1F-94D5-9A7432C7D406}"/>
              </a:ext>
            </a:extLst>
          </xdr:cNvPr>
          <xdr:cNvSpPr>
            <a:spLocks/>
          </xdr:cNvSpPr>
        </xdr:nvSpPr>
        <xdr:spPr bwMode="auto">
          <a:xfrm>
            <a:off x="1375551" y="6987052"/>
            <a:ext cx="180000" cy="180000"/>
          </a:xfrm>
          <a:custGeom>
            <a:avLst/>
            <a:gdLst>
              <a:gd name="T0" fmla="*/ 0 w 200"/>
              <a:gd name="T1" fmla="*/ 199 h 199"/>
              <a:gd name="T2" fmla="*/ 200 w 200"/>
              <a:gd name="T3" fmla="*/ 0 h 199"/>
              <a:gd name="T4" fmla="*/ 200 w 200"/>
              <a:gd name="T5" fmla="*/ 0 h 199"/>
            </a:gdLst>
            <a:ahLst/>
            <a:cxnLst>
              <a:cxn ang="0">
                <a:pos x="T0" y="T1"/>
              </a:cxn>
              <a:cxn ang="0">
                <a:pos x="T2" y="T3"/>
              </a:cxn>
              <a:cxn ang="0">
                <a:pos x="T4" y="T5"/>
              </a:cxn>
            </a:cxnLst>
            <a:rect l="0" t="0" r="r" b="b"/>
            <a:pathLst>
              <a:path w="200" h="199">
                <a:moveTo>
                  <a:pt x="0" y="199"/>
                </a:moveTo>
                <a:lnTo>
                  <a:pt x="20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06" name="Freeform 60">
            <a:extLst>
              <a:ext uri="{FF2B5EF4-FFF2-40B4-BE49-F238E27FC236}">
                <a16:creationId xmlns:a16="http://schemas.microsoft.com/office/drawing/2014/main" xmlns="" id="{4F21B0A7-D73D-4317-9EE4-363E05E1B55C}"/>
              </a:ext>
            </a:extLst>
          </xdr:cNvPr>
          <xdr:cNvSpPr>
            <a:spLocks/>
          </xdr:cNvSpPr>
        </xdr:nvSpPr>
        <xdr:spPr bwMode="auto">
          <a:xfrm>
            <a:off x="3008994" y="6985822"/>
            <a:ext cx="180000" cy="180000"/>
          </a:xfrm>
          <a:custGeom>
            <a:avLst/>
            <a:gdLst>
              <a:gd name="T0" fmla="*/ 0 w 253"/>
              <a:gd name="T1" fmla="*/ 252 h 252"/>
              <a:gd name="T2" fmla="*/ 253 w 253"/>
              <a:gd name="T3" fmla="*/ 0 h 252"/>
              <a:gd name="T4" fmla="*/ 253 w 253"/>
              <a:gd name="T5" fmla="*/ 0 h 252"/>
            </a:gdLst>
            <a:ahLst/>
            <a:cxnLst>
              <a:cxn ang="0">
                <a:pos x="T0" y="T1"/>
              </a:cxn>
              <a:cxn ang="0">
                <a:pos x="T2" y="T3"/>
              </a:cxn>
              <a:cxn ang="0">
                <a:pos x="T4" y="T5"/>
              </a:cxn>
            </a:cxnLst>
            <a:rect l="0" t="0" r="r" b="b"/>
            <a:pathLst>
              <a:path w="253" h="252">
                <a:moveTo>
                  <a:pt x="0" y="252"/>
                </a:moveTo>
                <a:lnTo>
                  <a:pt x="25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07" name="Freeform 59">
            <a:extLst>
              <a:ext uri="{FF2B5EF4-FFF2-40B4-BE49-F238E27FC236}">
                <a16:creationId xmlns:a16="http://schemas.microsoft.com/office/drawing/2014/main" xmlns="" id="{724126D5-A046-40AA-83E3-F7E0B2788430}"/>
              </a:ext>
            </a:extLst>
          </xdr:cNvPr>
          <xdr:cNvSpPr>
            <a:spLocks/>
          </xdr:cNvSpPr>
        </xdr:nvSpPr>
        <xdr:spPr bwMode="auto">
          <a:xfrm>
            <a:off x="3025705" y="6985822"/>
            <a:ext cx="180000" cy="180000"/>
          </a:xfrm>
          <a:custGeom>
            <a:avLst/>
            <a:gdLst>
              <a:gd name="T0" fmla="*/ 226 w 226"/>
              <a:gd name="T1" fmla="*/ 0 h 225"/>
              <a:gd name="T2" fmla="*/ 0 w 226"/>
              <a:gd name="T3" fmla="*/ 225 h 225"/>
              <a:gd name="T4" fmla="*/ 0 w 226"/>
              <a:gd name="T5" fmla="*/ 225 h 225"/>
            </a:gdLst>
            <a:ahLst/>
            <a:cxnLst>
              <a:cxn ang="0">
                <a:pos x="T0" y="T1"/>
              </a:cxn>
              <a:cxn ang="0">
                <a:pos x="T2" y="T3"/>
              </a:cxn>
              <a:cxn ang="0">
                <a:pos x="T4" y="T5"/>
              </a:cxn>
            </a:cxnLst>
            <a:rect l="0" t="0" r="r" b="b"/>
            <a:pathLst>
              <a:path w="226" h="225">
                <a:moveTo>
                  <a:pt x="226" y="0"/>
                </a:moveTo>
                <a:lnTo>
                  <a:pt x="0" y="225"/>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08" name="Freeform 58">
            <a:extLst>
              <a:ext uri="{FF2B5EF4-FFF2-40B4-BE49-F238E27FC236}">
                <a16:creationId xmlns:a16="http://schemas.microsoft.com/office/drawing/2014/main" xmlns="" id="{E30CF6A0-94E5-4B1F-94D5-9A7432C7D406}"/>
              </a:ext>
            </a:extLst>
          </xdr:cNvPr>
          <xdr:cNvSpPr>
            <a:spLocks/>
          </xdr:cNvSpPr>
        </xdr:nvSpPr>
        <xdr:spPr bwMode="auto">
          <a:xfrm>
            <a:off x="3041799" y="6985822"/>
            <a:ext cx="180000" cy="180000"/>
          </a:xfrm>
          <a:custGeom>
            <a:avLst/>
            <a:gdLst>
              <a:gd name="T0" fmla="*/ 0 w 200"/>
              <a:gd name="T1" fmla="*/ 199 h 199"/>
              <a:gd name="T2" fmla="*/ 200 w 200"/>
              <a:gd name="T3" fmla="*/ 0 h 199"/>
              <a:gd name="T4" fmla="*/ 200 w 200"/>
              <a:gd name="T5" fmla="*/ 0 h 199"/>
            </a:gdLst>
            <a:ahLst/>
            <a:cxnLst>
              <a:cxn ang="0">
                <a:pos x="T0" y="T1"/>
              </a:cxn>
              <a:cxn ang="0">
                <a:pos x="T2" y="T3"/>
              </a:cxn>
              <a:cxn ang="0">
                <a:pos x="T4" y="T5"/>
              </a:cxn>
            </a:cxnLst>
            <a:rect l="0" t="0" r="r" b="b"/>
            <a:pathLst>
              <a:path w="200" h="199">
                <a:moveTo>
                  <a:pt x="0" y="199"/>
                </a:moveTo>
                <a:lnTo>
                  <a:pt x="20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09" name="Freeform 60">
            <a:extLst>
              <a:ext uri="{FF2B5EF4-FFF2-40B4-BE49-F238E27FC236}">
                <a16:creationId xmlns:a16="http://schemas.microsoft.com/office/drawing/2014/main" xmlns="" id="{4F21B0A7-D73D-4317-9EE4-363E05E1B55C}"/>
              </a:ext>
            </a:extLst>
          </xdr:cNvPr>
          <xdr:cNvSpPr>
            <a:spLocks/>
          </xdr:cNvSpPr>
        </xdr:nvSpPr>
        <xdr:spPr bwMode="auto">
          <a:xfrm>
            <a:off x="2468995" y="6984593"/>
            <a:ext cx="180000" cy="180000"/>
          </a:xfrm>
          <a:custGeom>
            <a:avLst/>
            <a:gdLst>
              <a:gd name="T0" fmla="*/ 0 w 253"/>
              <a:gd name="T1" fmla="*/ 252 h 252"/>
              <a:gd name="T2" fmla="*/ 253 w 253"/>
              <a:gd name="T3" fmla="*/ 0 h 252"/>
              <a:gd name="T4" fmla="*/ 253 w 253"/>
              <a:gd name="T5" fmla="*/ 0 h 252"/>
            </a:gdLst>
            <a:ahLst/>
            <a:cxnLst>
              <a:cxn ang="0">
                <a:pos x="T0" y="T1"/>
              </a:cxn>
              <a:cxn ang="0">
                <a:pos x="T2" y="T3"/>
              </a:cxn>
              <a:cxn ang="0">
                <a:pos x="T4" y="T5"/>
              </a:cxn>
            </a:cxnLst>
            <a:rect l="0" t="0" r="r" b="b"/>
            <a:pathLst>
              <a:path w="253" h="252">
                <a:moveTo>
                  <a:pt x="0" y="252"/>
                </a:moveTo>
                <a:lnTo>
                  <a:pt x="25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10" name="Freeform 59">
            <a:extLst>
              <a:ext uri="{FF2B5EF4-FFF2-40B4-BE49-F238E27FC236}">
                <a16:creationId xmlns:a16="http://schemas.microsoft.com/office/drawing/2014/main" xmlns="" id="{724126D5-A046-40AA-83E3-F7E0B2788430}"/>
              </a:ext>
            </a:extLst>
          </xdr:cNvPr>
          <xdr:cNvSpPr>
            <a:spLocks/>
          </xdr:cNvSpPr>
        </xdr:nvSpPr>
        <xdr:spPr bwMode="auto">
          <a:xfrm>
            <a:off x="2485706" y="6984593"/>
            <a:ext cx="180000" cy="180000"/>
          </a:xfrm>
          <a:custGeom>
            <a:avLst/>
            <a:gdLst>
              <a:gd name="T0" fmla="*/ 226 w 226"/>
              <a:gd name="T1" fmla="*/ 0 h 225"/>
              <a:gd name="T2" fmla="*/ 0 w 226"/>
              <a:gd name="T3" fmla="*/ 225 h 225"/>
              <a:gd name="T4" fmla="*/ 0 w 226"/>
              <a:gd name="T5" fmla="*/ 225 h 225"/>
            </a:gdLst>
            <a:ahLst/>
            <a:cxnLst>
              <a:cxn ang="0">
                <a:pos x="T0" y="T1"/>
              </a:cxn>
              <a:cxn ang="0">
                <a:pos x="T2" y="T3"/>
              </a:cxn>
              <a:cxn ang="0">
                <a:pos x="T4" y="T5"/>
              </a:cxn>
            </a:cxnLst>
            <a:rect l="0" t="0" r="r" b="b"/>
            <a:pathLst>
              <a:path w="226" h="225">
                <a:moveTo>
                  <a:pt x="226" y="0"/>
                </a:moveTo>
                <a:lnTo>
                  <a:pt x="0" y="225"/>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11" name="Freeform 58">
            <a:extLst>
              <a:ext uri="{FF2B5EF4-FFF2-40B4-BE49-F238E27FC236}">
                <a16:creationId xmlns:a16="http://schemas.microsoft.com/office/drawing/2014/main" xmlns="" id="{E30CF6A0-94E5-4B1F-94D5-9A7432C7D406}"/>
              </a:ext>
            </a:extLst>
          </xdr:cNvPr>
          <xdr:cNvSpPr>
            <a:spLocks/>
          </xdr:cNvSpPr>
        </xdr:nvSpPr>
        <xdr:spPr bwMode="auto">
          <a:xfrm>
            <a:off x="2501800" y="6984593"/>
            <a:ext cx="184141" cy="180000"/>
          </a:xfrm>
          <a:custGeom>
            <a:avLst/>
            <a:gdLst>
              <a:gd name="T0" fmla="*/ 0 w 200"/>
              <a:gd name="T1" fmla="*/ 199 h 199"/>
              <a:gd name="T2" fmla="*/ 200 w 200"/>
              <a:gd name="T3" fmla="*/ 0 h 199"/>
              <a:gd name="T4" fmla="*/ 200 w 200"/>
              <a:gd name="T5" fmla="*/ 0 h 199"/>
            </a:gdLst>
            <a:ahLst/>
            <a:cxnLst>
              <a:cxn ang="0">
                <a:pos x="T0" y="T1"/>
              </a:cxn>
              <a:cxn ang="0">
                <a:pos x="T2" y="T3"/>
              </a:cxn>
              <a:cxn ang="0">
                <a:pos x="T4" y="T5"/>
              </a:cxn>
            </a:cxnLst>
            <a:rect l="0" t="0" r="r" b="b"/>
            <a:pathLst>
              <a:path w="200" h="199">
                <a:moveTo>
                  <a:pt x="0" y="199"/>
                </a:moveTo>
                <a:lnTo>
                  <a:pt x="20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8" name="Line 10">
            <a:extLst>
              <a:ext uri="{FF2B5EF4-FFF2-40B4-BE49-F238E27FC236}">
                <a16:creationId xmlns:a16="http://schemas.microsoft.com/office/drawing/2014/main" xmlns="" id="{A348531E-F889-4B13-87A7-9909D2CE4CDD}"/>
              </a:ext>
            </a:extLst>
          </xdr:cNvPr>
          <xdr:cNvSpPr>
            <a:spLocks noChangeShapeType="1"/>
          </xdr:cNvSpPr>
        </xdr:nvSpPr>
        <xdr:spPr bwMode="auto">
          <a:xfrm flipH="1">
            <a:off x="2633342" y="6981754"/>
            <a:ext cx="0" cy="184106"/>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grpSp>
    <xdr:clientData/>
  </xdr:twoCellAnchor>
  <xdr:twoCellAnchor>
    <xdr:from>
      <xdr:col>0</xdr:col>
      <xdr:colOff>304800</xdr:colOff>
      <xdr:row>24</xdr:row>
      <xdr:rowOff>41414</xdr:rowOff>
    </xdr:from>
    <xdr:to>
      <xdr:col>4</xdr:col>
      <xdr:colOff>345425</xdr:colOff>
      <xdr:row>24</xdr:row>
      <xdr:rowOff>240196</xdr:rowOff>
    </xdr:to>
    <xdr:sp macro="" textlink="">
      <xdr:nvSpPr>
        <xdr:cNvPr id="912" name="Text Box 13">
          <a:extLst>
            <a:ext uri="{FF2B5EF4-FFF2-40B4-BE49-F238E27FC236}">
              <a16:creationId xmlns:a16="http://schemas.microsoft.com/office/drawing/2014/main" xmlns="" id="{AE046A77-82A1-40FF-9770-A28C44503DC4}"/>
            </a:ext>
          </a:extLst>
        </xdr:cNvPr>
        <xdr:cNvSpPr txBox="1">
          <a:spLocks noChangeArrowheads="1"/>
        </xdr:cNvSpPr>
      </xdr:nvSpPr>
      <xdr:spPr bwMode="auto">
        <a:xfrm>
          <a:off x="304800" y="6004892"/>
          <a:ext cx="2724190" cy="198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50" b="0" i="0" u="none" strike="noStrike" baseline="0">
              <a:solidFill>
                <a:srgbClr val="000000"/>
              </a:solidFill>
              <a:latin typeface="ＭＳ Ｐゴシック"/>
              <a:ea typeface="ＭＳ Ｐゴシック"/>
            </a:rPr>
            <a:t>７.波型中空スラブ</a:t>
          </a:r>
        </a:p>
      </xdr:txBody>
    </xdr:sp>
    <xdr:clientData/>
  </xdr:twoCellAnchor>
  <xdr:twoCellAnchor>
    <xdr:from>
      <xdr:col>0</xdr:col>
      <xdr:colOff>308613</xdr:colOff>
      <xdr:row>21</xdr:row>
      <xdr:rowOff>3568</xdr:rowOff>
    </xdr:from>
    <xdr:to>
      <xdr:col>4</xdr:col>
      <xdr:colOff>359408</xdr:colOff>
      <xdr:row>23</xdr:row>
      <xdr:rowOff>212865</xdr:rowOff>
    </xdr:to>
    <xdr:grpSp>
      <xdr:nvGrpSpPr>
        <xdr:cNvPr id="5" name="グループ化 4"/>
        <xdr:cNvGrpSpPr/>
      </xdr:nvGrpSpPr>
      <xdr:grpSpPr>
        <a:xfrm>
          <a:off x="308613" y="5204218"/>
          <a:ext cx="2717795" cy="704597"/>
          <a:chOff x="308613" y="5218506"/>
          <a:chExt cx="2717795" cy="705957"/>
        </a:xfrm>
      </xdr:grpSpPr>
      <xdr:sp macro="" textlink="">
        <xdr:nvSpPr>
          <xdr:cNvPr id="751" name="Rectangle 406">
            <a:extLst>
              <a:ext uri="{FF2B5EF4-FFF2-40B4-BE49-F238E27FC236}">
                <a16:creationId xmlns:a16="http://schemas.microsoft.com/office/drawing/2014/main" xmlns="" id="{0822047D-5AEB-45B7-AE5C-EE1B2684B743}"/>
              </a:ext>
            </a:extLst>
          </xdr:cNvPr>
          <xdr:cNvSpPr>
            <a:spLocks noChangeArrowheads="1"/>
          </xdr:cNvSpPr>
        </xdr:nvSpPr>
        <xdr:spPr bwMode="auto">
          <a:xfrm>
            <a:off x="312327" y="5218506"/>
            <a:ext cx="2714081" cy="527616"/>
          </a:xfrm>
          <a:prstGeom prst="rect">
            <a:avLst/>
          </a:prstGeom>
          <a:solidFill>
            <a:srgbClr val="96969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7" name="Freeform 70">
            <a:extLst>
              <a:ext uri="{FF2B5EF4-FFF2-40B4-BE49-F238E27FC236}">
                <a16:creationId xmlns:a16="http://schemas.microsoft.com/office/drawing/2014/main" xmlns="" id="{D9B0AAF3-03CF-41F5-9F15-9631598CC9CE}"/>
              </a:ext>
            </a:extLst>
          </xdr:cNvPr>
          <xdr:cNvSpPr>
            <a:spLocks/>
          </xdr:cNvSpPr>
        </xdr:nvSpPr>
        <xdr:spPr bwMode="auto">
          <a:xfrm>
            <a:off x="811039" y="5219827"/>
            <a:ext cx="244490" cy="262621"/>
          </a:xfrm>
          <a:custGeom>
            <a:avLst/>
            <a:gdLst>
              <a:gd name="T0" fmla="*/ 0 w 395"/>
              <a:gd name="T1" fmla="*/ 396 h 396"/>
              <a:gd name="T2" fmla="*/ 395 w 395"/>
              <a:gd name="T3" fmla="*/ 0 h 396"/>
              <a:gd name="T4" fmla="*/ 395 w 395"/>
              <a:gd name="T5" fmla="*/ 0 h 396"/>
            </a:gdLst>
            <a:ahLst/>
            <a:cxnLst>
              <a:cxn ang="0">
                <a:pos x="T0" y="T1"/>
              </a:cxn>
              <a:cxn ang="0">
                <a:pos x="T2" y="T3"/>
              </a:cxn>
              <a:cxn ang="0">
                <a:pos x="T4" y="T5"/>
              </a:cxn>
            </a:cxnLst>
            <a:rect l="0" t="0" r="r" b="b"/>
            <a:pathLst>
              <a:path w="395" h="396">
                <a:moveTo>
                  <a:pt x="0" y="396"/>
                </a:moveTo>
                <a:lnTo>
                  <a:pt x="39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96" name="Freeform 71">
            <a:extLst>
              <a:ext uri="{FF2B5EF4-FFF2-40B4-BE49-F238E27FC236}">
                <a16:creationId xmlns:a16="http://schemas.microsoft.com/office/drawing/2014/main" xmlns="" id="{DEDFE7B0-D8E5-450E-AFFA-1C875A098238}"/>
              </a:ext>
            </a:extLst>
          </xdr:cNvPr>
          <xdr:cNvSpPr>
            <a:spLocks/>
          </xdr:cNvSpPr>
        </xdr:nvSpPr>
        <xdr:spPr bwMode="auto">
          <a:xfrm>
            <a:off x="819085" y="5219827"/>
            <a:ext cx="253155" cy="270547"/>
          </a:xfrm>
          <a:custGeom>
            <a:avLst/>
            <a:gdLst>
              <a:gd name="T0" fmla="*/ 0 w 409"/>
              <a:gd name="T1" fmla="*/ 408 h 408"/>
              <a:gd name="T2" fmla="*/ 409 w 409"/>
              <a:gd name="T3" fmla="*/ 0 h 408"/>
              <a:gd name="T4" fmla="*/ 409 w 409"/>
              <a:gd name="T5" fmla="*/ 0 h 408"/>
            </a:gdLst>
            <a:ahLst/>
            <a:cxnLst>
              <a:cxn ang="0">
                <a:pos x="T0" y="T1"/>
              </a:cxn>
              <a:cxn ang="0">
                <a:pos x="T2" y="T3"/>
              </a:cxn>
              <a:cxn ang="0">
                <a:pos x="T4" y="T5"/>
              </a:cxn>
            </a:cxnLst>
            <a:rect l="0" t="0" r="r" b="b"/>
            <a:pathLst>
              <a:path w="409" h="408">
                <a:moveTo>
                  <a:pt x="0" y="408"/>
                </a:moveTo>
                <a:lnTo>
                  <a:pt x="409"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52" name="Rectangle 405">
            <a:extLst>
              <a:ext uri="{FF2B5EF4-FFF2-40B4-BE49-F238E27FC236}">
                <a16:creationId xmlns:a16="http://schemas.microsoft.com/office/drawing/2014/main" xmlns="" id="{90DB7740-BB95-4DD1-81E0-1AE55AF1359C}"/>
              </a:ext>
            </a:extLst>
          </xdr:cNvPr>
          <xdr:cNvSpPr>
            <a:spLocks noChangeArrowheads="1"/>
          </xdr:cNvSpPr>
        </xdr:nvSpPr>
        <xdr:spPr bwMode="auto">
          <a:xfrm>
            <a:off x="2169936" y="5576635"/>
            <a:ext cx="363330" cy="17543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3" name="Freeform 404">
            <a:extLst>
              <a:ext uri="{FF2B5EF4-FFF2-40B4-BE49-F238E27FC236}">
                <a16:creationId xmlns:a16="http://schemas.microsoft.com/office/drawing/2014/main" xmlns="" id="{2657E37C-A29D-44C6-AFC9-7D526F3C910F}"/>
              </a:ext>
            </a:extLst>
          </xdr:cNvPr>
          <xdr:cNvSpPr>
            <a:spLocks/>
          </xdr:cNvSpPr>
        </xdr:nvSpPr>
        <xdr:spPr bwMode="auto">
          <a:xfrm>
            <a:off x="2140227" y="5500676"/>
            <a:ext cx="396754" cy="152580"/>
          </a:xfrm>
          <a:custGeom>
            <a:avLst/>
            <a:gdLst>
              <a:gd name="T0" fmla="*/ 54 w 641"/>
              <a:gd name="T1" fmla="*/ 0 h 231"/>
              <a:gd name="T2" fmla="*/ 97 w 641"/>
              <a:gd name="T3" fmla="*/ 19 h 231"/>
              <a:gd name="T4" fmla="*/ 112 w 641"/>
              <a:gd name="T5" fmla="*/ 31 h 231"/>
              <a:gd name="T6" fmla="*/ 119 w 641"/>
              <a:gd name="T7" fmla="*/ 46 h 231"/>
              <a:gd name="T8" fmla="*/ 133 w 641"/>
              <a:gd name="T9" fmla="*/ 51 h 231"/>
              <a:gd name="T10" fmla="*/ 184 w 641"/>
              <a:gd name="T11" fmla="*/ 75 h 231"/>
              <a:gd name="T12" fmla="*/ 284 w 641"/>
              <a:gd name="T13" fmla="*/ 108 h 231"/>
              <a:gd name="T14" fmla="*/ 364 w 641"/>
              <a:gd name="T15" fmla="*/ 111 h 231"/>
              <a:gd name="T16" fmla="*/ 426 w 641"/>
              <a:gd name="T17" fmla="*/ 96 h 231"/>
              <a:gd name="T18" fmla="*/ 476 w 641"/>
              <a:gd name="T19" fmla="*/ 82 h 231"/>
              <a:gd name="T20" fmla="*/ 534 w 641"/>
              <a:gd name="T21" fmla="*/ 58 h 231"/>
              <a:gd name="T22" fmla="*/ 560 w 641"/>
              <a:gd name="T23" fmla="*/ 39 h 231"/>
              <a:gd name="T24" fmla="*/ 584 w 641"/>
              <a:gd name="T25" fmla="*/ 17 h 231"/>
              <a:gd name="T26" fmla="*/ 620 w 641"/>
              <a:gd name="T27" fmla="*/ 10 h 231"/>
              <a:gd name="T28" fmla="*/ 640 w 641"/>
              <a:gd name="T29" fmla="*/ 43 h 231"/>
              <a:gd name="T30" fmla="*/ 628 w 641"/>
              <a:gd name="T31" fmla="*/ 147 h 231"/>
              <a:gd name="T32" fmla="*/ 548 w 641"/>
              <a:gd name="T33" fmla="*/ 209 h 231"/>
              <a:gd name="T34" fmla="*/ 484 w 641"/>
              <a:gd name="T35" fmla="*/ 226 h 231"/>
              <a:gd name="T36" fmla="*/ 440 w 641"/>
              <a:gd name="T37" fmla="*/ 231 h 231"/>
              <a:gd name="T38" fmla="*/ 229 w 641"/>
              <a:gd name="T39" fmla="*/ 214 h 231"/>
              <a:gd name="T40" fmla="*/ 188 w 641"/>
              <a:gd name="T41" fmla="*/ 207 h 231"/>
              <a:gd name="T42" fmla="*/ 85 w 641"/>
              <a:gd name="T43" fmla="*/ 173 h 231"/>
              <a:gd name="T44" fmla="*/ 32 w 641"/>
              <a:gd name="T45" fmla="*/ 147 h 231"/>
              <a:gd name="T46" fmla="*/ 6 w 641"/>
              <a:gd name="T47" fmla="*/ 101 h 231"/>
              <a:gd name="T48" fmla="*/ 40 w 641"/>
              <a:gd name="T49" fmla="*/ 12 h 231"/>
              <a:gd name="T50" fmla="*/ 54 w 641"/>
              <a:gd name="T51" fmla="*/ 0 h 2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641" h="231">
                <a:moveTo>
                  <a:pt x="54" y="0"/>
                </a:moveTo>
                <a:cubicBezTo>
                  <a:pt x="69" y="5"/>
                  <a:pt x="82" y="13"/>
                  <a:pt x="97" y="19"/>
                </a:cubicBezTo>
                <a:cubicBezTo>
                  <a:pt x="101" y="24"/>
                  <a:pt x="108" y="26"/>
                  <a:pt x="112" y="31"/>
                </a:cubicBezTo>
                <a:cubicBezTo>
                  <a:pt x="122" y="43"/>
                  <a:pt x="104" y="35"/>
                  <a:pt x="119" y="46"/>
                </a:cubicBezTo>
                <a:cubicBezTo>
                  <a:pt x="123" y="49"/>
                  <a:pt x="129" y="49"/>
                  <a:pt x="133" y="51"/>
                </a:cubicBezTo>
                <a:cubicBezTo>
                  <a:pt x="150" y="60"/>
                  <a:pt x="166" y="67"/>
                  <a:pt x="184" y="75"/>
                </a:cubicBezTo>
                <a:cubicBezTo>
                  <a:pt x="220" y="92"/>
                  <a:pt x="243" y="104"/>
                  <a:pt x="284" y="108"/>
                </a:cubicBezTo>
                <a:cubicBezTo>
                  <a:pt x="310" y="118"/>
                  <a:pt x="336" y="112"/>
                  <a:pt x="364" y="111"/>
                </a:cubicBezTo>
                <a:cubicBezTo>
                  <a:pt x="383" y="103"/>
                  <a:pt x="405" y="100"/>
                  <a:pt x="426" y="96"/>
                </a:cubicBezTo>
                <a:cubicBezTo>
                  <a:pt x="443" y="92"/>
                  <a:pt x="459" y="85"/>
                  <a:pt x="476" y="82"/>
                </a:cubicBezTo>
                <a:cubicBezTo>
                  <a:pt x="495" y="75"/>
                  <a:pt x="514" y="64"/>
                  <a:pt x="534" y="58"/>
                </a:cubicBezTo>
                <a:cubicBezTo>
                  <a:pt x="541" y="48"/>
                  <a:pt x="550" y="45"/>
                  <a:pt x="560" y="39"/>
                </a:cubicBezTo>
                <a:cubicBezTo>
                  <a:pt x="565" y="31"/>
                  <a:pt x="575" y="20"/>
                  <a:pt x="584" y="17"/>
                </a:cubicBezTo>
                <a:cubicBezTo>
                  <a:pt x="595" y="2"/>
                  <a:pt x="600" y="7"/>
                  <a:pt x="620" y="10"/>
                </a:cubicBezTo>
                <a:cubicBezTo>
                  <a:pt x="633" y="18"/>
                  <a:pt x="634" y="30"/>
                  <a:pt x="640" y="43"/>
                </a:cubicBezTo>
                <a:cubicBezTo>
                  <a:pt x="638" y="68"/>
                  <a:pt x="641" y="124"/>
                  <a:pt x="628" y="147"/>
                </a:cubicBezTo>
                <a:cubicBezTo>
                  <a:pt x="611" y="176"/>
                  <a:pt x="581" y="201"/>
                  <a:pt x="548" y="209"/>
                </a:cubicBezTo>
                <a:cubicBezTo>
                  <a:pt x="531" y="218"/>
                  <a:pt x="503" y="223"/>
                  <a:pt x="484" y="226"/>
                </a:cubicBezTo>
                <a:cubicBezTo>
                  <a:pt x="469" y="228"/>
                  <a:pt x="440" y="231"/>
                  <a:pt x="440" y="231"/>
                </a:cubicBezTo>
                <a:cubicBezTo>
                  <a:pt x="367" y="229"/>
                  <a:pt x="301" y="221"/>
                  <a:pt x="229" y="214"/>
                </a:cubicBezTo>
                <a:cubicBezTo>
                  <a:pt x="215" y="211"/>
                  <a:pt x="202" y="210"/>
                  <a:pt x="188" y="207"/>
                </a:cubicBezTo>
                <a:cubicBezTo>
                  <a:pt x="153" y="199"/>
                  <a:pt x="120" y="183"/>
                  <a:pt x="85" y="173"/>
                </a:cubicBezTo>
                <a:cubicBezTo>
                  <a:pt x="71" y="163"/>
                  <a:pt x="49" y="151"/>
                  <a:pt x="32" y="147"/>
                </a:cubicBezTo>
                <a:cubicBezTo>
                  <a:pt x="19" y="138"/>
                  <a:pt x="10" y="116"/>
                  <a:pt x="6" y="101"/>
                </a:cubicBezTo>
                <a:cubicBezTo>
                  <a:pt x="1" y="51"/>
                  <a:pt x="0" y="37"/>
                  <a:pt x="40" y="12"/>
                </a:cubicBezTo>
                <a:cubicBezTo>
                  <a:pt x="45" y="3"/>
                  <a:pt x="49" y="7"/>
                  <a:pt x="54"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4" name="Rectangle 403">
            <a:extLst>
              <a:ext uri="{FF2B5EF4-FFF2-40B4-BE49-F238E27FC236}">
                <a16:creationId xmlns:a16="http://schemas.microsoft.com/office/drawing/2014/main" xmlns="" id="{D6297107-0EF1-4145-A365-B229AF97AF43}"/>
              </a:ext>
            </a:extLst>
          </xdr:cNvPr>
          <xdr:cNvSpPr>
            <a:spLocks noChangeArrowheads="1"/>
          </xdr:cNvSpPr>
        </xdr:nvSpPr>
        <xdr:spPr bwMode="auto">
          <a:xfrm>
            <a:off x="1846390" y="5501336"/>
            <a:ext cx="330355" cy="25139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5" name="Rectangle 402">
            <a:extLst>
              <a:ext uri="{FF2B5EF4-FFF2-40B4-BE49-F238E27FC236}">
                <a16:creationId xmlns:a16="http://schemas.microsoft.com/office/drawing/2014/main" xmlns="" id="{4AB6669B-82AD-4C21-AF44-8E8C60C6F05E}"/>
              </a:ext>
            </a:extLst>
          </xdr:cNvPr>
          <xdr:cNvSpPr>
            <a:spLocks noChangeArrowheads="1"/>
          </xdr:cNvSpPr>
        </xdr:nvSpPr>
        <xdr:spPr bwMode="auto">
          <a:xfrm>
            <a:off x="2515936" y="5501997"/>
            <a:ext cx="332830" cy="25139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6" name="Line 401">
            <a:extLst>
              <a:ext uri="{FF2B5EF4-FFF2-40B4-BE49-F238E27FC236}">
                <a16:creationId xmlns:a16="http://schemas.microsoft.com/office/drawing/2014/main" xmlns="" id="{B04188C3-40CB-49E9-91D7-577C6790E913}"/>
              </a:ext>
            </a:extLst>
          </xdr:cNvPr>
          <xdr:cNvSpPr>
            <a:spLocks noChangeShapeType="1"/>
          </xdr:cNvSpPr>
        </xdr:nvSpPr>
        <xdr:spPr bwMode="auto">
          <a:xfrm flipH="1" flipV="1">
            <a:off x="496158" y="5698832"/>
            <a:ext cx="1001137" cy="0"/>
          </a:xfrm>
          <a:prstGeom prst="line">
            <a:avLst/>
          </a:prstGeom>
          <a:noFill/>
          <a:ln w="6350">
            <a:solidFill>
              <a:srgbClr val="0000FF"/>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757" name="Text Box 400">
            <a:extLst>
              <a:ext uri="{FF2B5EF4-FFF2-40B4-BE49-F238E27FC236}">
                <a16:creationId xmlns:a16="http://schemas.microsoft.com/office/drawing/2014/main" xmlns="" id="{E0FF391B-1E6D-4B5B-A550-1694F291A274}"/>
              </a:ext>
            </a:extLst>
          </xdr:cNvPr>
          <xdr:cNvSpPr txBox="1">
            <a:spLocks noChangeArrowheads="1"/>
          </xdr:cNvSpPr>
        </xdr:nvSpPr>
        <xdr:spPr bwMode="auto">
          <a:xfrm>
            <a:off x="950305" y="5587204"/>
            <a:ext cx="111413" cy="155883"/>
          </a:xfrm>
          <a:prstGeom prst="rect">
            <a:avLst/>
          </a:prstGeom>
          <a:solidFill>
            <a:srgbClr val="FFFF9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0000FF"/>
                </a:solidFill>
                <a:latin typeface="Arial"/>
                <a:cs typeface="Arial"/>
              </a:rPr>
              <a:t>B</a:t>
            </a:r>
          </a:p>
        </xdr:txBody>
      </xdr:sp>
      <xdr:sp macro="" textlink="">
        <xdr:nvSpPr>
          <xdr:cNvPr id="758" name="Rectangle 399">
            <a:extLst>
              <a:ext uri="{FF2B5EF4-FFF2-40B4-BE49-F238E27FC236}">
                <a16:creationId xmlns:a16="http://schemas.microsoft.com/office/drawing/2014/main" xmlns="" id="{886CF724-FA3D-4A40-82B0-5729167A7BFB}"/>
              </a:ext>
            </a:extLst>
          </xdr:cNvPr>
          <xdr:cNvSpPr>
            <a:spLocks noChangeArrowheads="1"/>
          </xdr:cNvSpPr>
        </xdr:nvSpPr>
        <xdr:spPr bwMode="auto">
          <a:xfrm>
            <a:off x="489350" y="5494337"/>
            <a:ext cx="330354" cy="25244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9" name="Rectangle 398">
            <a:extLst>
              <a:ext uri="{FF2B5EF4-FFF2-40B4-BE49-F238E27FC236}">
                <a16:creationId xmlns:a16="http://schemas.microsoft.com/office/drawing/2014/main" xmlns="" id="{65F93619-2EB5-4E22-80EA-2A4F3A4A5DDF}"/>
              </a:ext>
            </a:extLst>
          </xdr:cNvPr>
          <xdr:cNvSpPr>
            <a:spLocks noChangeArrowheads="1"/>
          </xdr:cNvSpPr>
        </xdr:nvSpPr>
        <xdr:spPr bwMode="auto">
          <a:xfrm>
            <a:off x="1158895" y="5494997"/>
            <a:ext cx="332830" cy="25244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60" name="Rectangle 397">
            <a:extLst>
              <a:ext uri="{FF2B5EF4-FFF2-40B4-BE49-F238E27FC236}">
                <a16:creationId xmlns:a16="http://schemas.microsoft.com/office/drawing/2014/main" xmlns="" id="{33478BA3-B953-49B9-B08F-1052E889CE51}"/>
              </a:ext>
            </a:extLst>
          </xdr:cNvPr>
          <xdr:cNvSpPr>
            <a:spLocks noChangeArrowheads="1"/>
          </xdr:cNvSpPr>
        </xdr:nvSpPr>
        <xdr:spPr bwMode="auto">
          <a:xfrm>
            <a:off x="812896" y="5561921"/>
            <a:ext cx="363330" cy="18420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5" name="Freeform 72">
            <a:extLst>
              <a:ext uri="{FF2B5EF4-FFF2-40B4-BE49-F238E27FC236}">
                <a16:creationId xmlns:a16="http://schemas.microsoft.com/office/drawing/2014/main" xmlns="" id="{84A8CCB3-D792-4FCA-B32E-45D54BC058AD}"/>
              </a:ext>
            </a:extLst>
          </xdr:cNvPr>
          <xdr:cNvSpPr>
            <a:spLocks/>
          </xdr:cNvSpPr>
        </xdr:nvSpPr>
        <xdr:spPr bwMode="auto">
          <a:xfrm>
            <a:off x="827750" y="5219827"/>
            <a:ext cx="260583" cy="280187"/>
          </a:xfrm>
          <a:custGeom>
            <a:avLst/>
            <a:gdLst>
              <a:gd name="T0" fmla="*/ 0 w 421"/>
              <a:gd name="T1" fmla="*/ 421 h 421"/>
              <a:gd name="T2" fmla="*/ 421 w 421"/>
              <a:gd name="T3" fmla="*/ 0 h 421"/>
              <a:gd name="T4" fmla="*/ 421 w 421"/>
              <a:gd name="T5" fmla="*/ 0 h 421"/>
            </a:gdLst>
            <a:ahLst/>
            <a:cxnLst>
              <a:cxn ang="0">
                <a:pos x="T0" y="T1"/>
              </a:cxn>
              <a:cxn ang="0">
                <a:pos x="T2" y="T3"/>
              </a:cxn>
              <a:cxn ang="0">
                <a:pos x="T4" y="T5"/>
              </a:cxn>
            </a:cxnLst>
            <a:rect l="0" t="0" r="r" b="b"/>
            <a:pathLst>
              <a:path w="421" h="421">
                <a:moveTo>
                  <a:pt x="0" y="421"/>
                </a:moveTo>
                <a:lnTo>
                  <a:pt x="421"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1" name="Freeform 396">
            <a:extLst>
              <a:ext uri="{FF2B5EF4-FFF2-40B4-BE49-F238E27FC236}">
                <a16:creationId xmlns:a16="http://schemas.microsoft.com/office/drawing/2014/main" xmlns="" id="{5390F7B8-6030-440B-AE4B-54EF224F3E01}"/>
              </a:ext>
            </a:extLst>
          </xdr:cNvPr>
          <xdr:cNvSpPr>
            <a:spLocks/>
          </xdr:cNvSpPr>
        </xdr:nvSpPr>
        <xdr:spPr bwMode="auto">
          <a:xfrm>
            <a:off x="783185" y="5483470"/>
            <a:ext cx="400636" cy="132878"/>
          </a:xfrm>
          <a:custGeom>
            <a:avLst/>
            <a:gdLst>
              <a:gd name="T0" fmla="*/ 54 w 641"/>
              <a:gd name="T1" fmla="*/ 0 h 231"/>
              <a:gd name="T2" fmla="*/ 97 w 641"/>
              <a:gd name="T3" fmla="*/ 19 h 231"/>
              <a:gd name="T4" fmla="*/ 112 w 641"/>
              <a:gd name="T5" fmla="*/ 31 h 231"/>
              <a:gd name="T6" fmla="*/ 119 w 641"/>
              <a:gd name="T7" fmla="*/ 46 h 231"/>
              <a:gd name="T8" fmla="*/ 133 w 641"/>
              <a:gd name="T9" fmla="*/ 51 h 231"/>
              <a:gd name="T10" fmla="*/ 184 w 641"/>
              <a:gd name="T11" fmla="*/ 75 h 231"/>
              <a:gd name="T12" fmla="*/ 284 w 641"/>
              <a:gd name="T13" fmla="*/ 108 h 231"/>
              <a:gd name="T14" fmla="*/ 364 w 641"/>
              <a:gd name="T15" fmla="*/ 111 h 231"/>
              <a:gd name="T16" fmla="*/ 426 w 641"/>
              <a:gd name="T17" fmla="*/ 96 h 231"/>
              <a:gd name="T18" fmla="*/ 476 w 641"/>
              <a:gd name="T19" fmla="*/ 82 h 231"/>
              <a:gd name="T20" fmla="*/ 534 w 641"/>
              <a:gd name="T21" fmla="*/ 58 h 231"/>
              <a:gd name="T22" fmla="*/ 560 w 641"/>
              <a:gd name="T23" fmla="*/ 39 h 231"/>
              <a:gd name="T24" fmla="*/ 584 w 641"/>
              <a:gd name="T25" fmla="*/ 17 h 231"/>
              <a:gd name="T26" fmla="*/ 620 w 641"/>
              <a:gd name="T27" fmla="*/ 10 h 231"/>
              <a:gd name="T28" fmla="*/ 640 w 641"/>
              <a:gd name="T29" fmla="*/ 43 h 231"/>
              <a:gd name="T30" fmla="*/ 628 w 641"/>
              <a:gd name="T31" fmla="*/ 147 h 231"/>
              <a:gd name="T32" fmla="*/ 548 w 641"/>
              <a:gd name="T33" fmla="*/ 209 h 231"/>
              <a:gd name="T34" fmla="*/ 484 w 641"/>
              <a:gd name="T35" fmla="*/ 226 h 231"/>
              <a:gd name="T36" fmla="*/ 440 w 641"/>
              <a:gd name="T37" fmla="*/ 231 h 231"/>
              <a:gd name="T38" fmla="*/ 229 w 641"/>
              <a:gd name="T39" fmla="*/ 214 h 231"/>
              <a:gd name="T40" fmla="*/ 188 w 641"/>
              <a:gd name="T41" fmla="*/ 207 h 231"/>
              <a:gd name="T42" fmla="*/ 85 w 641"/>
              <a:gd name="T43" fmla="*/ 173 h 231"/>
              <a:gd name="T44" fmla="*/ 32 w 641"/>
              <a:gd name="T45" fmla="*/ 147 h 231"/>
              <a:gd name="T46" fmla="*/ 6 w 641"/>
              <a:gd name="T47" fmla="*/ 101 h 231"/>
              <a:gd name="T48" fmla="*/ 40 w 641"/>
              <a:gd name="T49" fmla="*/ 12 h 231"/>
              <a:gd name="T50" fmla="*/ 54 w 641"/>
              <a:gd name="T51" fmla="*/ 0 h 2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641" h="231">
                <a:moveTo>
                  <a:pt x="54" y="0"/>
                </a:moveTo>
                <a:cubicBezTo>
                  <a:pt x="69" y="5"/>
                  <a:pt x="82" y="13"/>
                  <a:pt x="97" y="19"/>
                </a:cubicBezTo>
                <a:cubicBezTo>
                  <a:pt x="101" y="24"/>
                  <a:pt x="108" y="26"/>
                  <a:pt x="112" y="31"/>
                </a:cubicBezTo>
                <a:cubicBezTo>
                  <a:pt x="122" y="43"/>
                  <a:pt x="104" y="35"/>
                  <a:pt x="119" y="46"/>
                </a:cubicBezTo>
                <a:cubicBezTo>
                  <a:pt x="123" y="49"/>
                  <a:pt x="129" y="49"/>
                  <a:pt x="133" y="51"/>
                </a:cubicBezTo>
                <a:cubicBezTo>
                  <a:pt x="150" y="60"/>
                  <a:pt x="166" y="67"/>
                  <a:pt x="184" y="75"/>
                </a:cubicBezTo>
                <a:cubicBezTo>
                  <a:pt x="220" y="92"/>
                  <a:pt x="243" y="104"/>
                  <a:pt x="284" y="108"/>
                </a:cubicBezTo>
                <a:cubicBezTo>
                  <a:pt x="310" y="118"/>
                  <a:pt x="336" y="112"/>
                  <a:pt x="364" y="111"/>
                </a:cubicBezTo>
                <a:cubicBezTo>
                  <a:pt x="383" y="103"/>
                  <a:pt x="405" y="100"/>
                  <a:pt x="426" y="96"/>
                </a:cubicBezTo>
                <a:cubicBezTo>
                  <a:pt x="443" y="92"/>
                  <a:pt x="459" y="85"/>
                  <a:pt x="476" y="82"/>
                </a:cubicBezTo>
                <a:cubicBezTo>
                  <a:pt x="495" y="75"/>
                  <a:pt x="514" y="64"/>
                  <a:pt x="534" y="58"/>
                </a:cubicBezTo>
                <a:cubicBezTo>
                  <a:pt x="541" y="48"/>
                  <a:pt x="550" y="45"/>
                  <a:pt x="560" y="39"/>
                </a:cubicBezTo>
                <a:cubicBezTo>
                  <a:pt x="565" y="31"/>
                  <a:pt x="575" y="20"/>
                  <a:pt x="584" y="17"/>
                </a:cubicBezTo>
                <a:cubicBezTo>
                  <a:pt x="595" y="2"/>
                  <a:pt x="600" y="7"/>
                  <a:pt x="620" y="10"/>
                </a:cubicBezTo>
                <a:cubicBezTo>
                  <a:pt x="633" y="18"/>
                  <a:pt x="634" y="30"/>
                  <a:pt x="640" y="43"/>
                </a:cubicBezTo>
                <a:cubicBezTo>
                  <a:pt x="638" y="68"/>
                  <a:pt x="641" y="124"/>
                  <a:pt x="628" y="147"/>
                </a:cubicBezTo>
                <a:cubicBezTo>
                  <a:pt x="611" y="176"/>
                  <a:pt x="581" y="201"/>
                  <a:pt x="548" y="209"/>
                </a:cubicBezTo>
                <a:cubicBezTo>
                  <a:pt x="531" y="218"/>
                  <a:pt x="503" y="223"/>
                  <a:pt x="484" y="226"/>
                </a:cubicBezTo>
                <a:cubicBezTo>
                  <a:pt x="469" y="228"/>
                  <a:pt x="440" y="231"/>
                  <a:pt x="440" y="231"/>
                </a:cubicBezTo>
                <a:cubicBezTo>
                  <a:pt x="367" y="229"/>
                  <a:pt x="301" y="221"/>
                  <a:pt x="229" y="214"/>
                </a:cubicBezTo>
                <a:cubicBezTo>
                  <a:pt x="215" y="211"/>
                  <a:pt x="202" y="210"/>
                  <a:pt x="188" y="207"/>
                </a:cubicBezTo>
                <a:cubicBezTo>
                  <a:pt x="153" y="199"/>
                  <a:pt x="120" y="183"/>
                  <a:pt x="85" y="173"/>
                </a:cubicBezTo>
                <a:cubicBezTo>
                  <a:pt x="71" y="163"/>
                  <a:pt x="49" y="151"/>
                  <a:pt x="32" y="147"/>
                </a:cubicBezTo>
                <a:cubicBezTo>
                  <a:pt x="19" y="138"/>
                  <a:pt x="10" y="116"/>
                  <a:pt x="6" y="101"/>
                </a:cubicBezTo>
                <a:cubicBezTo>
                  <a:pt x="1" y="51"/>
                  <a:pt x="0" y="37"/>
                  <a:pt x="40" y="12"/>
                </a:cubicBezTo>
                <a:cubicBezTo>
                  <a:pt x="45" y="3"/>
                  <a:pt x="49" y="7"/>
                  <a:pt x="54"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2" name="Rectangle 395">
            <a:extLst>
              <a:ext uri="{FF2B5EF4-FFF2-40B4-BE49-F238E27FC236}">
                <a16:creationId xmlns:a16="http://schemas.microsoft.com/office/drawing/2014/main" xmlns="" id="{2C3FD8B2-8AEA-44C8-95F7-80707CEDA07F}"/>
              </a:ext>
            </a:extLst>
          </xdr:cNvPr>
          <xdr:cNvSpPr>
            <a:spLocks noChangeArrowheads="1"/>
          </xdr:cNvSpPr>
        </xdr:nvSpPr>
        <xdr:spPr bwMode="auto">
          <a:xfrm>
            <a:off x="308613" y="5744408"/>
            <a:ext cx="2714081" cy="180055"/>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63" name="Freeform 104">
            <a:extLst>
              <a:ext uri="{FF2B5EF4-FFF2-40B4-BE49-F238E27FC236}">
                <a16:creationId xmlns:a16="http://schemas.microsoft.com/office/drawing/2014/main" xmlns="" id="{76FF523B-41BA-41DD-BD0C-BC66DF7145D8}"/>
              </a:ext>
            </a:extLst>
          </xdr:cNvPr>
          <xdr:cNvSpPr>
            <a:spLocks/>
          </xdr:cNvSpPr>
        </xdr:nvSpPr>
        <xdr:spPr bwMode="auto">
          <a:xfrm>
            <a:off x="489969" y="5482049"/>
            <a:ext cx="619" cy="266400"/>
          </a:xfrm>
          <a:custGeom>
            <a:avLst/>
            <a:gdLst>
              <a:gd name="T0" fmla="*/ 377 h 377"/>
              <a:gd name="T1" fmla="*/ 0 h 377"/>
              <a:gd name="T2" fmla="*/ 0 h 377"/>
            </a:gdLst>
            <a:ahLst/>
            <a:cxnLst>
              <a:cxn ang="0">
                <a:pos x="0" y="T0"/>
              </a:cxn>
              <a:cxn ang="0">
                <a:pos x="0" y="T1"/>
              </a:cxn>
              <a:cxn ang="0">
                <a:pos x="0" y="T2"/>
              </a:cxn>
            </a:cxnLst>
            <a:rect l="0" t="0" r="r" b="b"/>
            <a:pathLst>
              <a:path h="377">
                <a:moveTo>
                  <a:pt x="0" y="377"/>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4" name="Freeform 103">
            <a:extLst>
              <a:ext uri="{FF2B5EF4-FFF2-40B4-BE49-F238E27FC236}">
                <a16:creationId xmlns:a16="http://schemas.microsoft.com/office/drawing/2014/main" xmlns="" id="{5FAF42E9-E8F1-4119-9EE7-90A68ED42E0E}"/>
              </a:ext>
            </a:extLst>
          </xdr:cNvPr>
          <xdr:cNvSpPr>
            <a:spLocks/>
          </xdr:cNvSpPr>
        </xdr:nvSpPr>
        <xdr:spPr bwMode="auto">
          <a:xfrm>
            <a:off x="1493581" y="5482049"/>
            <a:ext cx="619" cy="266400"/>
          </a:xfrm>
          <a:custGeom>
            <a:avLst/>
            <a:gdLst>
              <a:gd name="T0" fmla="*/ 0 h 377"/>
              <a:gd name="T1" fmla="*/ 377 h 377"/>
              <a:gd name="T2" fmla="*/ 377 h 377"/>
            </a:gdLst>
            <a:ahLst/>
            <a:cxnLst>
              <a:cxn ang="0">
                <a:pos x="0" y="T0"/>
              </a:cxn>
              <a:cxn ang="0">
                <a:pos x="0" y="T1"/>
              </a:cxn>
              <a:cxn ang="0">
                <a:pos x="0" y="T2"/>
              </a:cxn>
            </a:cxnLst>
            <a:rect l="0" t="0" r="r" b="b"/>
            <a:pathLst>
              <a:path h="377">
                <a:moveTo>
                  <a:pt x="0" y="0"/>
                </a:moveTo>
                <a:lnTo>
                  <a:pt x="0" y="377"/>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5" name="Arc 102">
            <a:extLst>
              <a:ext uri="{FF2B5EF4-FFF2-40B4-BE49-F238E27FC236}">
                <a16:creationId xmlns:a16="http://schemas.microsoft.com/office/drawing/2014/main" xmlns="" id="{44FFE06B-8621-489E-89D4-4FBA6B30F998}"/>
              </a:ext>
            </a:extLst>
          </xdr:cNvPr>
          <xdr:cNvSpPr>
            <a:spLocks/>
          </xdr:cNvSpPr>
        </xdr:nvSpPr>
        <xdr:spPr bwMode="auto">
          <a:xfrm>
            <a:off x="488731" y="5420359"/>
            <a:ext cx="333449" cy="216000"/>
          </a:xfrm>
          <a:custGeom>
            <a:avLst/>
            <a:gdLst>
              <a:gd name="G0" fmla="+- 15401 0 0"/>
              <a:gd name="G1" fmla="+- 21600 0 0"/>
              <a:gd name="G2" fmla="+- 21600 0 0"/>
              <a:gd name="T0" fmla="*/ 0 w 30858"/>
              <a:gd name="T1" fmla="*/ 6455 h 21600"/>
              <a:gd name="T2" fmla="*/ 30858 w 30858"/>
              <a:gd name="T3" fmla="*/ 6512 h 21600"/>
              <a:gd name="T4" fmla="*/ 15401 w 30858"/>
              <a:gd name="T5" fmla="*/ 21600 h 21600"/>
            </a:gdLst>
            <a:ahLst/>
            <a:cxnLst>
              <a:cxn ang="0">
                <a:pos x="T0" y="T1"/>
              </a:cxn>
              <a:cxn ang="0">
                <a:pos x="T2" y="T3"/>
              </a:cxn>
              <a:cxn ang="0">
                <a:pos x="T4" y="T5"/>
              </a:cxn>
            </a:cxnLst>
            <a:rect l="0" t="0" r="r" b="b"/>
            <a:pathLst>
              <a:path w="30858" h="21600" fill="none" extrusionOk="0">
                <a:moveTo>
                  <a:pt x="0" y="6455"/>
                </a:moveTo>
                <a:cubicBezTo>
                  <a:pt x="4060" y="2325"/>
                  <a:pt x="9609" y="0"/>
                  <a:pt x="15401" y="0"/>
                </a:cubicBezTo>
                <a:cubicBezTo>
                  <a:pt x="21220" y="0"/>
                  <a:pt x="26793" y="2347"/>
                  <a:pt x="30857" y="6512"/>
                </a:cubicBezTo>
              </a:path>
              <a:path w="30858" h="21600" stroke="0" extrusionOk="0">
                <a:moveTo>
                  <a:pt x="0" y="6455"/>
                </a:moveTo>
                <a:cubicBezTo>
                  <a:pt x="4060" y="2325"/>
                  <a:pt x="9609" y="0"/>
                  <a:pt x="15401" y="0"/>
                </a:cubicBezTo>
                <a:cubicBezTo>
                  <a:pt x="21220" y="0"/>
                  <a:pt x="26793" y="2347"/>
                  <a:pt x="30857" y="6512"/>
                </a:cubicBezTo>
                <a:lnTo>
                  <a:pt x="15401" y="21600"/>
                </a:lnTo>
                <a:close/>
              </a:path>
            </a:pathLst>
          </a:custGeom>
          <a:solidFill>
            <a:srgbClr val="FFFFFF"/>
          </a:solidFill>
          <a:ln w="6350">
            <a:solidFill>
              <a:srgbClr val="000000"/>
            </a:solidFill>
            <a:round/>
            <a:headEnd/>
            <a:tailEnd/>
          </a:ln>
        </xdr:spPr>
      </xdr:sp>
      <xdr:sp macro="" textlink="">
        <xdr:nvSpPr>
          <xdr:cNvPr id="767" name="Arc 100">
            <a:extLst>
              <a:ext uri="{FF2B5EF4-FFF2-40B4-BE49-F238E27FC236}">
                <a16:creationId xmlns:a16="http://schemas.microsoft.com/office/drawing/2014/main" xmlns="" id="{8058B038-E57C-4D56-ACEA-1A2120A04E31}"/>
              </a:ext>
            </a:extLst>
          </xdr:cNvPr>
          <xdr:cNvSpPr>
            <a:spLocks/>
          </xdr:cNvSpPr>
        </xdr:nvSpPr>
        <xdr:spPr bwMode="auto">
          <a:xfrm>
            <a:off x="1158895" y="5420359"/>
            <a:ext cx="333449" cy="216000"/>
          </a:xfrm>
          <a:custGeom>
            <a:avLst/>
            <a:gdLst>
              <a:gd name="G0" fmla="+- 15415 0 0"/>
              <a:gd name="G1" fmla="+- 21600 0 0"/>
              <a:gd name="G2" fmla="+- 21600 0 0"/>
              <a:gd name="T0" fmla="*/ 0 w 30872"/>
              <a:gd name="T1" fmla="*/ 6470 h 21600"/>
              <a:gd name="T2" fmla="*/ 30872 w 30872"/>
              <a:gd name="T3" fmla="*/ 6512 h 21600"/>
              <a:gd name="T4" fmla="*/ 15415 w 30872"/>
              <a:gd name="T5" fmla="*/ 21600 h 21600"/>
            </a:gdLst>
            <a:ahLst/>
            <a:cxnLst>
              <a:cxn ang="0">
                <a:pos x="T0" y="T1"/>
              </a:cxn>
              <a:cxn ang="0">
                <a:pos x="T2" y="T3"/>
              </a:cxn>
              <a:cxn ang="0">
                <a:pos x="T4" y="T5"/>
              </a:cxn>
            </a:cxnLst>
            <a:rect l="0" t="0" r="r" b="b"/>
            <a:pathLst>
              <a:path w="30872" h="21600" fill="none" extrusionOk="0">
                <a:moveTo>
                  <a:pt x="-1" y="6469"/>
                </a:moveTo>
                <a:cubicBezTo>
                  <a:pt x="4061" y="2331"/>
                  <a:pt x="9616" y="0"/>
                  <a:pt x="15415" y="0"/>
                </a:cubicBezTo>
                <a:cubicBezTo>
                  <a:pt x="21234" y="0"/>
                  <a:pt x="26807" y="2347"/>
                  <a:pt x="30871" y="6512"/>
                </a:cubicBezTo>
              </a:path>
              <a:path w="30872" h="21600" stroke="0" extrusionOk="0">
                <a:moveTo>
                  <a:pt x="-1" y="6469"/>
                </a:moveTo>
                <a:cubicBezTo>
                  <a:pt x="4061" y="2331"/>
                  <a:pt x="9616" y="0"/>
                  <a:pt x="15415" y="0"/>
                </a:cubicBezTo>
                <a:cubicBezTo>
                  <a:pt x="21234" y="0"/>
                  <a:pt x="26807" y="2347"/>
                  <a:pt x="30871" y="6512"/>
                </a:cubicBezTo>
                <a:lnTo>
                  <a:pt x="15415" y="21600"/>
                </a:lnTo>
                <a:close/>
              </a:path>
            </a:pathLst>
          </a:custGeom>
          <a:solidFill>
            <a:srgbClr val="FFFFFF"/>
          </a:solidFill>
          <a:ln w="6350">
            <a:solidFill>
              <a:srgbClr val="000000"/>
            </a:solidFill>
            <a:round/>
            <a:headEnd/>
            <a:tailEnd/>
          </a:ln>
        </xdr:spPr>
      </xdr:sp>
      <xdr:sp macro="" textlink="">
        <xdr:nvSpPr>
          <xdr:cNvPr id="770" name="Arc 97">
            <a:extLst>
              <a:ext uri="{FF2B5EF4-FFF2-40B4-BE49-F238E27FC236}">
                <a16:creationId xmlns:a16="http://schemas.microsoft.com/office/drawing/2014/main" xmlns="" id="{1C56A940-A1D0-4955-9052-4C89A30753EA}"/>
              </a:ext>
            </a:extLst>
          </xdr:cNvPr>
          <xdr:cNvSpPr>
            <a:spLocks/>
          </xdr:cNvSpPr>
        </xdr:nvSpPr>
        <xdr:spPr bwMode="auto">
          <a:xfrm>
            <a:off x="1844532" y="5420359"/>
            <a:ext cx="333450" cy="250731"/>
          </a:xfrm>
          <a:custGeom>
            <a:avLst/>
            <a:gdLst>
              <a:gd name="G0" fmla="+- 15415 0 0"/>
              <a:gd name="G1" fmla="+- 21600 0 0"/>
              <a:gd name="G2" fmla="+- 21600 0 0"/>
              <a:gd name="T0" fmla="*/ 0 w 30858"/>
              <a:gd name="T1" fmla="*/ 6470 h 21600"/>
              <a:gd name="T2" fmla="*/ 30858 w 30858"/>
              <a:gd name="T3" fmla="*/ 6498 h 21600"/>
              <a:gd name="T4" fmla="*/ 15415 w 30858"/>
              <a:gd name="T5" fmla="*/ 21600 h 21600"/>
            </a:gdLst>
            <a:ahLst/>
            <a:cxnLst>
              <a:cxn ang="0">
                <a:pos x="T0" y="T1"/>
              </a:cxn>
              <a:cxn ang="0">
                <a:pos x="T2" y="T3"/>
              </a:cxn>
              <a:cxn ang="0">
                <a:pos x="T4" y="T5"/>
              </a:cxn>
            </a:cxnLst>
            <a:rect l="0" t="0" r="r" b="b"/>
            <a:pathLst>
              <a:path w="30858" h="21600" fill="none" extrusionOk="0">
                <a:moveTo>
                  <a:pt x="-1" y="6469"/>
                </a:moveTo>
                <a:cubicBezTo>
                  <a:pt x="4061" y="2331"/>
                  <a:pt x="9616" y="0"/>
                  <a:pt x="15415" y="0"/>
                </a:cubicBezTo>
                <a:cubicBezTo>
                  <a:pt x="21227" y="0"/>
                  <a:pt x="26794" y="2342"/>
                  <a:pt x="30858" y="6497"/>
                </a:cubicBezTo>
              </a:path>
              <a:path w="30858" h="21600" stroke="0" extrusionOk="0">
                <a:moveTo>
                  <a:pt x="-1" y="6469"/>
                </a:moveTo>
                <a:cubicBezTo>
                  <a:pt x="4061" y="2331"/>
                  <a:pt x="9616" y="0"/>
                  <a:pt x="15415" y="0"/>
                </a:cubicBezTo>
                <a:cubicBezTo>
                  <a:pt x="21227" y="0"/>
                  <a:pt x="26794" y="2342"/>
                  <a:pt x="30858" y="6497"/>
                </a:cubicBezTo>
                <a:lnTo>
                  <a:pt x="15415" y="21600"/>
                </a:lnTo>
                <a:close/>
              </a:path>
            </a:pathLst>
          </a:custGeom>
          <a:solidFill>
            <a:srgbClr val="FFFFFF"/>
          </a:solidFill>
          <a:ln w="6350">
            <a:solidFill>
              <a:srgbClr val="000000"/>
            </a:solidFill>
            <a:round/>
            <a:headEnd/>
            <a:tailEnd/>
          </a:ln>
        </xdr:spPr>
      </xdr:sp>
      <xdr:sp macro="" textlink="">
        <xdr:nvSpPr>
          <xdr:cNvPr id="771" name="Arc 96">
            <a:extLst>
              <a:ext uri="{FF2B5EF4-FFF2-40B4-BE49-F238E27FC236}">
                <a16:creationId xmlns:a16="http://schemas.microsoft.com/office/drawing/2014/main" xmlns="" id="{3DA0CD89-606C-4132-B734-171D377C307A}"/>
              </a:ext>
            </a:extLst>
          </xdr:cNvPr>
          <xdr:cNvSpPr>
            <a:spLocks/>
          </xdr:cNvSpPr>
        </xdr:nvSpPr>
        <xdr:spPr bwMode="auto">
          <a:xfrm>
            <a:off x="2179839" y="5318638"/>
            <a:ext cx="333001" cy="250731"/>
          </a:xfrm>
          <a:custGeom>
            <a:avLst/>
            <a:gdLst>
              <a:gd name="G0" fmla="+- 15373 0 0"/>
              <a:gd name="G1" fmla="+- 0 0 0"/>
              <a:gd name="G2" fmla="+- 21600 0 0"/>
              <a:gd name="T0" fmla="*/ 30774 w 30774"/>
              <a:gd name="T1" fmla="*/ 15145 h 21600"/>
              <a:gd name="T2" fmla="*/ 0 w 30774"/>
              <a:gd name="T3" fmla="*/ 15174 h 21600"/>
              <a:gd name="T4" fmla="*/ 15373 w 30774"/>
              <a:gd name="T5" fmla="*/ 0 h 21600"/>
            </a:gdLst>
            <a:ahLst/>
            <a:cxnLst>
              <a:cxn ang="0">
                <a:pos x="T0" y="T1"/>
              </a:cxn>
              <a:cxn ang="0">
                <a:pos x="T2" y="T3"/>
              </a:cxn>
              <a:cxn ang="0">
                <a:pos x="T4" y="T5"/>
              </a:cxn>
            </a:cxnLst>
            <a:rect l="0" t="0" r="r" b="b"/>
            <a:pathLst>
              <a:path w="30774" h="21600" fill="none" extrusionOk="0">
                <a:moveTo>
                  <a:pt x="30773" y="15144"/>
                </a:moveTo>
                <a:cubicBezTo>
                  <a:pt x="26713" y="19274"/>
                  <a:pt x="21164" y="21599"/>
                  <a:pt x="15373" y="21599"/>
                </a:cubicBezTo>
                <a:cubicBezTo>
                  <a:pt x="9595" y="21599"/>
                  <a:pt x="4058" y="19285"/>
                  <a:pt x="0" y="15173"/>
                </a:cubicBezTo>
              </a:path>
              <a:path w="30774" h="21600" stroke="0" extrusionOk="0">
                <a:moveTo>
                  <a:pt x="30773" y="15144"/>
                </a:moveTo>
                <a:cubicBezTo>
                  <a:pt x="26713" y="19274"/>
                  <a:pt x="21164" y="21599"/>
                  <a:pt x="15373" y="21599"/>
                </a:cubicBezTo>
                <a:cubicBezTo>
                  <a:pt x="9595" y="21599"/>
                  <a:pt x="4058" y="19285"/>
                  <a:pt x="0" y="15173"/>
                </a:cubicBezTo>
                <a:lnTo>
                  <a:pt x="15373" y="0"/>
                </a:lnTo>
                <a:close/>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72" name="Arc 95">
            <a:extLst>
              <a:ext uri="{FF2B5EF4-FFF2-40B4-BE49-F238E27FC236}">
                <a16:creationId xmlns:a16="http://schemas.microsoft.com/office/drawing/2014/main" xmlns="" id="{F5E2FEF8-1ED7-43C2-A6F9-EF60434546E0}"/>
              </a:ext>
            </a:extLst>
          </xdr:cNvPr>
          <xdr:cNvSpPr>
            <a:spLocks/>
          </xdr:cNvSpPr>
        </xdr:nvSpPr>
        <xdr:spPr bwMode="auto">
          <a:xfrm>
            <a:off x="2514079" y="5420359"/>
            <a:ext cx="333449" cy="250731"/>
          </a:xfrm>
          <a:custGeom>
            <a:avLst/>
            <a:gdLst>
              <a:gd name="G0" fmla="+- 15415 0 0"/>
              <a:gd name="G1" fmla="+- 21600 0 0"/>
              <a:gd name="G2" fmla="+- 21600 0 0"/>
              <a:gd name="T0" fmla="*/ 0 w 30872"/>
              <a:gd name="T1" fmla="*/ 6470 h 21600"/>
              <a:gd name="T2" fmla="*/ 30872 w 30872"/>
              <a:gd name="T3" fmla="*/ 6512 h 21600"/>
              <a:gd name="T4" fmla="*/ 15415 w 30872"/>
              <a:gd name="T5" fmla="*/ 21600 h 21600"/>
            </a:gdLst>
            <a:ahLst/>
            <a:cxnLst>
              <a:cxn ang="0">
                <a:pos x="T0" y="T1"/>
              </a:cxn>
              <a:cxn ang="0">
                <a:pos x="T2" y="T3"/>
              </a:cxn>
              <a:cxn ang="0">
                <a:pos x="T4" y="T5"/>
              </a:cxn>
            </a:cxnLst>
            <a:rect l="0" t="0" r="r" b="b"/>
            <a:pathLst>
              <a:path w="30872" h="21600" fill="none" extrusionOk="0">
                <a:moveTo>
                  <a:pt x="-1" y="6469"/>
                </a:moveTo>
                <a:cubicBezTo>
                  <a:pt x="4061" y="2331"/>
                  <a:pt x="9616" y="0"/>
                  <a:pt x="15415" y="0"/>
                </a:cubicBezTo>
                <a:cubicBezTo>
                  <a:pt x="21234" y="0"/>
                  <a:pt x="26807" y="2347"/>
                  <a:pt x="30871" y="6512"/>
                </a:cubicBezTo>
              </a:path>
              <a:path w="30872" h="21600" stroke="0" extrusionOk="0">
                <a:moveTo>
                  <a:pt x="-1" y="6469"/>
                </a:moveTo>
                <a:cubicBezTo>
                  <a:pt x="4061" y="2331"/>
                  <a:pt x="9616" y="0"/>
                  <a:pt x="15415" y="0"/>
                </a:cubicBezTo>
                <a:cubicBezTo>
                  <a:pt x="21234" y="0"/>
                  <a:pt x="26807" y="2347"/>
                  <a:pt x="30871" y="6512"/>
                </a:cubicBezTo>
                <a:lnTo>
                  <a:pt x="15415" y="21600"/>
                </a:lnTo>
                <a:close/>
              </a:path>
            </a:pathLst>
          </a:custGeom>
          <a:solidFill>
            <a:srgbClr val="FFFFFF"/>
          </a:solidFill>
          <a:ln w="6350">
            <a:solidFill>
              <a:srgbClr val="000000"/>
            </a:solidFill>
            <a:round/>
            <a:headEnd/>
            <a:tailEnd/>
          </a:ln>
        </xdr:spPr>
      </xdr:sp>
      <xdr:sp macro="" textlink="">
        <xdr:nvSpPr>
          <xdr:cNvPr id="773" name="Freeform 94">
            <a:extLst>
              <a:ext uri="{FF2B5EF4-FFF2-40B4-BE49-F238E27FC236}">
                <a16:creationId xmlns:a16="http://schemas.microsoft.com/office/drawing/2014/main" xmlns="" id="{5D037822-33A4-43C0-B95B-86C69DBC2187}"/>
              </a:ext>
            </a:extLst>
          </xdr:cNvPr>
          <xdr:cNvSpPr>
            <a:spLocks/>
          </xdr:cNvSpPr>
        </xdr:nvSpPr>
        <xdr:spPr bwMode="auto">
          <a:xfrm>
            <a:off x="314183" y="5921820"/>
            <a:ext cx="2710986" cy="661"/>
          </a:xfrm>
          <a:custGeom>
            <a:avLst/>
            <a:gdLst>
              <a:gd name="T0" fmla="*/ 0 w 4385"/>
              <a:gd name="T1" fmla="*/ 4385 w 4385"/>
              <a:gd name="T2" fmla="*/ 4385 w 4385"/>
            </a:gdLst>
            <a:ahLst/>
            <a:cxnLst>
              <a:cxn ang="0">
                <a:pos x="T0" y="0"/>
              </a:cxn>
              <a:cxn ang="0">
                <a:pos x="T1" y="0"/>
              </a:cxn>
              <a:cxn ang="0">
                <a:pos x="T2" y="0"/>
              </a:cxn>
            </a:cxnLst>
            <a:rect l="0" t="0" r="r" b="b"/>
            <a:pathLst>
              <a:path w="4385">
                <a:moveTo>
                  <a:pt x="0" y="0"/>
                </a:moveTo>
                <a:lnTo>
                  <a:pt x="438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74" name="Freeform 93">
            <a:extLst>
              <a:ext uri="{FF2B5EF4-FFF2-40B4-BE49-F238E27FC236}">
                <a16:creationId xmlns:a16="http://schemas.microsoft.com/office/drawing/2014/main" xmlns="" id="{E8E2D0EC-047E-49F7-A62C-7897FB01D1B4}"/>
              </a:ext>
            </a:extLst>
          </xdr:cNvPr>
          <xdr:cNvSpPr>
            <a:spLocks/>
          </xdr:cNvSpPr>
        </xdr:nvSpPr>
        <xdr:spPr bwMode="auto">
          <a:xfrm>
            <a:off x="314183" y="5219827"/>
            <a:ext cx="2710986" cy="661"/>
          </a:xfrm>
          <a:custGeom>
            <a:avLst/>
            <a:gdLst>
              <a:gd name="T0" fmla="*/ 4385 w 4385"/>
              <a:gd name="T1" fmla="*/ 0 w 4385"/>
              <a:gd name="T2" fmla="*/ 0 w 4385"/>
            </a:gdLst>
            <a:ahLst/>
            <a:cxnLst>
              <a:cxn ang="0">
                <a:pos x="T0" y="0"/>
              </a:cxn>
              <a:cxn ang="0">
                <a:pos x="T1" y="0"/>
              </a:cxn>
              <a:cxn ang="0">
                <a:pos x="T2" y="0"/>
              </a:cxn>
            </a:cxnLst>
            <a:rect l="0" t="0" r="r" b="b"/>
            <a:pathLst>
              <a:path w="4385">
                <a:moveTo>
                  <a:pt x="4385" y="0"/>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75" name="Freeform 92">
            <a:extLst>
              <a:ext uri="{FF2B5EF4-FFF2-40B4-BE49-F238E27FC236}">
                <a16:creationId xmlns:a16="http://schemas.microsoft.com/office/drawing/2014/main" xmlns="" id="{CFABAED7-259F-4356-AECE-1AA7C6D4E597}"/>
              </a:ext>
            </a:extLst>
          </xdr:cNvPr>
          <xdr:cNvSpPr>
            <a:spLocks/>
          </xdr:cNvSpPr>
        </xdr:nvSpPr>
        <xdr:spPr bwMode="auto">
          <a:xfrm>
            <a:off x="384126" y="5746783"/>
            <a:ext cx="1215298" cy="661"/>
          </a:xfrm>
          <a:custGeom>
            <a:avLst/>
            <a:gdLst>
              <a:gd name="T0" fmla="*/ 0 w 1966"/>
              <a:gd name="T1" fmla="*/ 1966 w 1966"/>
              <a:gd name="T2" fmla="*/ 1966 w 1966"/>
            </a:gdLst>
            <a:ahLst/>
            <a:cxnLst>
              <a:cxn ang="0">
                <a:pos x="T0" y="0"/>
              </a:cxn>
              <a:cxn ang="0">
                <a:pos x="T1" y="0"/>
              </a:cxn>
              <a:cxn ang="0">
                <a:pos x="T2" y="0"/>
              </a:cxn>
            </a:cxnLst>
            <a:rect l="0" t="0" r="r" b="b"/>
            <a:pathLst>
              <a:path w="1966">
                <a:moveTo>
                  <a:pt x="0" y="0"/>
                </a:moveTo>
                <a:lnTo>
                  <a:pt x="196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76" name="Freeform 91">
            <a:extLst>
              <a:ext uri="{FF2B5EF4-FFF2-40B4-BE49-F238E27FC236}">
                <a16:creationId xmlns:a16="http://schemas.microsoft.com/office/drawing/2014/main" xmlns="" id="{4A93639E-918E-4463-9CD8-6BEAC3172D66}"/>
              </a:ext>
            </a:extLst>
          </xdr:cNvPr>
          <xdr:cNvSpPr>
            <a:spLocks/>
          </xdr:cNvSpPr>
        </xdr:nvSpPr>
        <xdr:spPr bwMode="auto">
          <a:xfrm>
            <a:off x="1613660" y="5746783"/>
            <a:ext cx="112032" cy="661"/>
          </a:xfrm>
          <a:custGeom>
            <a:avLst/>
            <a:gdLst>
              <a:gd name="T0" fmla="*/ 0 w 181"/>
              <a:gd name="T1" fmla="*/ 181 w 181"/>
              <a:gd name="T2" fmla="*/ 181 w 181"/>
            </a:gdLst>
            <a:ahLst/>
            <a:cxnLst>
              <a:cxn ang="0">
                <a:pos x="T0" y="0"/>
              </a:cxn>
              <a:cxn ang="0">
                <a:pos x="T1" y="0"/>
              </a:cxn>
              <a:cxn ang="0">
                <a:pos x="T2" y="0"/>
              </a:cxn>
            </a:cxnLst>
            <a:rect l="0" t="0" r="r" b="b"/>
            <a:pathLst>
              <a:path w="181">
                <a:moveTo>
                  <a:pt x="0" y="0"/>
                </a:moveTo>
                <a:lnTo>
                  <a:pt x="181"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77" name="Freeform 90">
            <a:extLst>
              <a:ext uri="{FF2B5EF4-FFF2-40B4-BE49-F238E27FC236}">
                <a16:creationId xmlns:a16="http://schemas.microsoft.com/office/drawing/2014/main" xmlns="" id="{5DC1B237-8ACA-446B-BA54-2A0528AB8A73}"/>
              </a:ext>
            </a:extLst>
          </xdr:cNvPr>
          <xdr:cNvSpPr>
            <a:spLocks/>
          </xdr:cNvSpPr>
        </xdr:nvSpPr>
        <xdr:spPr bwMode="auto">
          <a:xfrm>
            <a:off x="314183" y="5921820"/>
            <a:ext cx="2710986" cy="661"/>
          </a:xfrm>
          <a:custGeom>
            <a:avLst/>
            <a:gdLst>
              <a:gd name="T0" fmla="*/ 0 w 4385"/>
              <a:gd name="T1" fmla="*/ 4385 w 4385"/>
              <a:gd name="T2" fmla="*/ 4385 w 4385"/>
            </a:gdLst>
            <a:ahLst/>
            <a:cxnLst>
              <a:cxn ang="0">
                <a:pos x="T0" y="0"/>
              </a:cxn>
              <a:cxn ang="0">
                <a:pos x="T1" y="0"/>
              </a:cxn>
              <a:cxn ang="0">
                <a:pos x="T2" y="0"/>
              </a:cxn>
            </a:cxnLst>
            <a:rect l="0" t="0" r="r" b="b"/>
            <a:pathLst>
              <a:path w="4385">
                <a:moveTo>
                  <a:pt x="0" y="0"/>
                </a:moveTo>
                <a:lnTo>
                  <a:pt x="438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78" name="Freeform 89">
            <a:extLst>
              <a:ext uri="{FF2B5EF4-FFF2-40B4-BE49-F238E27FC236}">
                <a16:creationId xmlns:a16="http://schemas.microsoft.com/office/drawing/2014/main" xmlns="" id="{288C60DC-EBAE-4258-B911-9AEBD9C9F2CC}"/>
              </a:ext>
            </a:extLst>
          </xdr:cNvPr>
          <xdr:cNvSpPr>
            <a:spLocks/>
          </xdr:cNvSpPr>
        </xdr:nvSpPr>
        <xdr:spPr bwMode="auto">
          <a:xfrm>
            <a:off x="2496747" y="5746783"/>
            <a:ext cx="164025" cy="175038"/>
          </a:xfrm>
          <a:custGeom>
            <a:avLst/>
            <a:gdLst>
              <a:gd name="T0" fmla="*/ 0 w 265"/>
              <a:gd name="T1" fmla="*/ 265 h 265"/>
              <a:gd name="T2" fmla="*/ 265 w 265"/>
              <a:gd name="T3" fmla="*/ 0 h 265"/>
              <a:gd name="T4" fmla="*/ 265 w 265"/>
              <a:gd name="T5" fmla="*/ 0 h 265"/>
            </a:gdLst>
            <a:ahLst/>
            <a:cxnLst>
              <a:cxn ang="0">
                <a:pos x="T0" y="T1"/>
              </a:cxn>
              <a:cxn ang="0">
                <a:pos x="T2" y="T3"/>
              </a:cxn>
              <a:cxn ang="0">
                <a:pos x="T4" y="T5"/>
              </a:cxn>
            </a:cxnLst>
            <a:rect l="0" t="0" r="r" b="b"/>
            <a:pathLst>
              <a:path w="265" h="265">
                <a:moveTo>
                  <a:pt x="0" y="265"/>
                </a:moveTo>
                <a:lnTo>
                  <a:pt x="26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79" name="Freeform 88">
            <a:extLst>
              <a:ext uri="{FF2B5EF4-FFF2-40B4-BE49-F238E27FC236}">
                <a16:creationId xmlns:a16="http://schemas.microsoft.com/office/drawing/2014/main" xmlns="" id="{A0FD8E18-9090-4F8E-98A8-4AFD7DEBA34C}"/>
              </a:ext>
            </a:extLst>
          </xdr:cNvPr>
          <xdr:cNvSpPr>
            <a:spLocks/>
          </xdr:cNvSpPr>
        </xdr:nvSpPr>
        <xdr:spPr bwMode="auto">
          <a:xfrm>
            <a:off x="2480036" y="5746783"/>
            <a:ext cx="164025" cy="175038"/>
          </a:xfrm>
          <a:custGeom>
            <a:avLst/>
            <a:gdLst>
              <a:gd name="T0" fmla="*/ 0 w 265"/>
              <a:gd name="T1" fmla="*/ 265 h 265"/>
              <a:gd name="T2" fmla="*/ 265 w 265"/>
              <a:gd name="T3" fmla="*/ 0 h 265"/>
              <a:gd name="T4" fmla="*/ 265 w 265"/>
              <a:gd name="T5" fmla="*/ 0 h 265"/>
            </a:gdLst>
            <a:ahLst/>
            <a:cxnLst>
              <a:cxn ang="0">
                <a:pos x="T0" y="T1"/>
              </a:cxn>
              <a:cxn ang="0">
                <a:pos x="T2" y="T3"/>
              </a:cxn>
              <a:cxn ang="0">
                <a:pos x="T4" y="T5"/>
              </a:cxn>
            </a:cxnLst>
            <a:rect l="0" t="0" r="r" b="b"/>
            <a:pathLst>
              <a:path w="265" h="265">
                <a:moveTo>
                  <a:pt x="0" y="265"/>
                </a:moveTo>
                <a:lnTo>
                  <a:pt x="26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80" name="Freeform 87">
            <a:extLst>
              <a:ext uri="{FF2B5EF4-FFF2-40B4-BE49-F238E27FC236}">
                <a16:creationId xmlns:a16="http://schemas.microsoft.com/office/drawing/2014/main" xmlns="" id="{BED8EE9C-E8B5-4DB7-B90A-821A563F5A02}"/>
              </a:ext>
            </a:extLst>
          </xdr:cNvPr>
          <xdr:cNvSpPr>
            <a:spLocks/>
          </xdr:cNvSpPr>
        </xdr:nvSpPr>
        <xdr:spPr bwMode="auto">
          <a:xfrm>
            <a:off x="1984417" y="5746783"/>
            <a:ext cx="163236" cy="175038"/>
          </a:xfrm>
          <a:custGeom>
            <a:avLst/>
            <a:gdLst>
              <a:gd name="T0" fmla="*/ 0 w 265"/>
              <a:gd name="T1" fmla="*/ 265 h 265"/>
              <a:gd name="T2" fmla="*/ 265 w 265"/>
              <a:gd name="T3" fmla="*/ 0 h 265"/>
              <a:gd name="T4" fmla="*/ 265 w 265"/>
              <a:gd name="T5" fmla="*/ 0 h 265"/>
            </a:gdLst>
            <a:ahLst/>
            <a:cxnLst>
              <a:cxn ang="0">
                <a:pos x="T0" y="T1"/>
              </a:cxn>
              <a:cxn ang="0">
                <a:pos x="T2" y="T3"/>
              </a:cxn>
              <a:cxn ang="0">
                <a:pos x="T4" y="T5"/>
              </a:cxn>
            </a:cxnLst>
            <a:rect l="0" t="0" r="r" b="b"/>
            <a:pathLst>
              <a:path w="265" h="265">
                <a:moveTo>
                  <a:pt x="0" y="265"/>
                </a:moveTo>
                <a:lnTo>
                  <a:pt x="26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81" name="Freeform 86">
            <a:extLst>
              <a:ext uri="{FF2B5EF4-FFF2-40B4-BE49-F238E27FC236}">
                <a16:creationId xmlns:a16="http://schemas.microsoft.com/office/drawing/2014/main" xmlns="" id="{FD2FC63D-EEC3-4804-A10E-3795569A13DC}"/>
              </a:ext>
            </a:extLst>
          </xdr:cNvPr>
          <xdr:cNvSpPr>
            <a:spLocks/>
          </xdr:cNvSpPr>
        </xdr:nvSpPr>
        <xdr:spPr bwMode="auto">
          <a:xfrm>
            <a:off x="1968324" y="5746783"/>
            <a:ext cx="162617" cy="175038"/>
          </a:xfrm>
          <a:custGeom>
            <a:avLst/>
            <a:gdLst>
              <a:gd name="T0" fmla="*/ 0 w 264"/>
              <a:gd name="T1" fmla="*/ 265 h 265"/>
              <a:gd name="T2" fmla="*/ 264 w 264"/>
              <a:gd name="T3" fmla="*/ 0 h 265"/>
              <a:gd name="T4" fmla="*/ 264 w 264"/>
              <a:gd name="T5" fmla="*/ 0 h 265"/>
            </a:gdLst>
            <a:ahLst/>
            <a:cxnLst>
              <a:cxn ang="0">
                <a:pos x="T0" y="T1"/>
              </a:cxn>
              <a:cxn ang="0">
                <a:pos x="T2" y="T3"/>
              </a:cxn>
              <a:cxn ang="0">
                <a:pos x="T4" y="T5"/>
              </a:cxn>
            </a:cxnLst>
            <a:rect l="0" t="0" r="r" b="b"/>
            <a:pathLst>
              <a:path w="264" h="265">
                <a:moveTo>
                  <a:pt x="0" y="265"/>
                </a:moveTo>
                <a:lnTo>
                  <a:pt x="26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82" name="Freeform 85">
            <a:extLst>
              <a:ext uri="{FF2B5EF4-FFF2-40B4-BE49-F238E27FC236}">
                <a16:creationId xmlns:a16="http://schemas.microsoft.com/office/drawing/2014/main" xmlns="" id="{1D0B1538-9145-4C8D-9546-A727F50240DA}"/>
              </a:ext>
            </a:extLst>
          </xdr:cNvPr>
          <xdr:cNvSpPr>
            <a:spLocks/>
          </xdr:cNvSpPr>
        </xdr:nvSpPr>
        <xdr:spPr bwMode="auto">
          <a:xfrm>
            <a:off x="959589" y="5746783"/>
            <a:ext cx="164025" cy="175038"/>
          </a:xfrm>
          <a:custGeom>
            <a:avLst/>
            <a:gdLst>
              <a:gd name="T0" fmla="*/ 0 w 265"/>
              <a:gd name="T1" fmla="*/ 265 h 265"/>
              <a:gd name="T2" fmla="*/ 265 w 265"/>
              <a:gd name="T3" fmla="*/ 0 h 265"/>
              <a:gd name="T4" fmla="*/ 265 w 265"/>
              <a:gd name="T5" fmla="*/ 0 h 265"/>
            </a:gdLst>
            <a:ahLst/>
            <a:cxnLst>
              <a:cxn ang="0">
                <a:pos x="T0" y="T1"/>
              </a:cxn>
              <a:cxn ang="0">
                <a:pos x="T2" y="T3"/>
              </a:cxn>
              <a:cxn ang="0">
                <a:pos x="T4" y="T5"/>
              </a:cxn>
            </a:cxnLst>
            <a:rect l="0" t="0" r="r" b="b"/>
            <a:pathLst>
              <a:path w="265" h="265">
                <a:moveTo>
                  <a:pt x="0" y="265"/>
                </a:moveTo>
                <a:lnTo>
                  <a:pt x="26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83" name="Freeform 84">
            <a:extLst>
              <a:ext uri="{FF2B5EF4-FFF2-40B4-BE49-F238E27FC236}">
                <a16:creationId xmlns:a16="http://schemas.microsoft.com/office/drawing/2014/main" xmlns="" id="{C0242BCD-75E2-416C-9AED-77F161ED5ED2}"/>
              </a:ext>
            </a:extLst>
          </xdr:cNvPr>
          <xdr:cNvSpPr>
            <a:spLocks/>
          </xdr:cNvSpPr>
        </xdr:nvSpPr>
        <xdr:spPr bwMode="auto">
          <a:xfrm>
            <a:off x="942878" y="5746783"/>
            <a:ext cx="164025" cy="175038"/>
          </a:xfrm>
          <a:custGeom>
            <a:avLst/>
            <a:gdLst>
              <a:gd name="T0" fmla="*/ 0 w 265"/>
              <a:gd name="T1" fmla="*/ 265 h 265"/>
              <a:gd name="T2" fmla="*/ 265 w 265"/>
              <a:gd name="T3" fmla="*/ 0 h 265"/>
              <a:gd name="T4" fmla="*/ 265 w 265"/>
              <a:gd name="T5" fmla="*/ 0 h 265"/>
            </a:gdLst>
            <a:ahLst/>
            <a:cxnLst>
              <a:cxn ang="0">
                <a:pos x="T0" y="T1"/>
              </a:cxn>
              <a:cxn ang="0">
                <a:pos x="T2" y="T3"/>
              </a:cxn>
              <a:cxn ang="0">
                <a:pos x="T4" y="T5"/>
              </a:cxn>
            </a:cxnLst>
            <a:rect l="0" t="0" r="r" b="b"/>
            <a:pathLst>
              <a:path w="265" h="265">
                <a:moveTo>
                  <a:pt x="0" y="265"/>
                </a:moveTo>
                <a:lnTo>
                  <a:pt x="26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84" name="Freeform 83">
            <a:extLst>
              <a:ext uri="{FF2B5EF4-FFF2-40B4-BE49-F238E27FC236}">
                <a16:creationId xmlns:a16="http://schemas.microsoft.com/office/drawing/2014/main" xmlns="" id="{45AFCAFE-53FF-430E-84A5-58D07C8E9964}"/>
              </a:ext>
            </a:extLst>
          </xdr:cNvPr>
          <xdr:cNvSpPr>
            <a:spLocks/>
          </xdr:cNvSpPr>
        </xdr:nvSpPr>
        <xdr:spPr bwMode="auto">
          <a:xfrm>
            <a:off x="447260" y="5746783"/>
            <a:ext cx="164025" cy="175038"/>
          </a:xfrm>
          <a:custGeom>
            <a:avLst/>
            <a:gdLst>
              <a:gd name="T0" fmla="*/ 0 w 265"/>
              <a:gd name="T1" fmla="*/ 265 h 265"/>
              <a:gd name="T2" fmla="*/ 265 w 265"/>
              <a:gd name="T3" fmla="*/ 0 h 265"/>
              <a:gd name="T4" fmla="*/ 265 w 265"/>
              <a:gd name="T5" fmla="*/ 0 h 265"/>
            </a:gdLst>
            <a:ahLst/>
            <a:cxnLst>
              <a:cxn ang="0">
                <a:pos x="T0" y="T1"/>
              </a:cxn>
              <a:cxn ang="0">
                <a:pos x="T2" y="T3"/>
              </a:cxn>
              <a:cxn ang="0">
                <a:pos x="T4" y="T5"/>
              </a:cxn>
            </a:cxnLst>
            <a:rect l="0" t="0" r="r" b="b"/>
            <a:pathLst>
              <a:path w="265" h="265">
                <a:moveTo>
                  <a:pt x="0" y="265"/>
                </a:moveTo>
                <a:lnTo>
                  <a:pt x="26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85" name="Freeform 82">
            <a:extLst>
              <a:ext uri="{FF2B5EF4-FFF2-40B4-BE49-F238E27FC236}">
                <a16:creationId xmlns:a16="http://schemas.microsoft.com/office/drawing/2014/main" xmlns="" id="{658873EC-8F09-4F8A-88AC-55BA559D4DCF}"/>
              </a:ext>
            </a:extLst>
          </xdr:cNvPr>
          <xdr:cNvSpPr>
            <a:spLocks/>
          </xdr:cNvSpPr>
        </xdr:nvSpPr>
        <xdr:spPr bwMode="auto">
          <a:xfrm>
            <a:off x="431167" y="5746783"/>
            <a:ext cx="163406" cy="175038"/>
          </a:xfrm>
          <a:custGeom>
            <a:avLst/>
            <a:gdLst>
              <a:gd name="T0" fmla="*/ 0 w 264"/>
              <a:gd name="T1" fmla="*/ 265 h 265"/>
              <a:gd name="T2" fmla="*/ 264 w 264"/>
              <a:gd name="T3" fmla="*/ 0 h 265"/>
              <a:gd name="T4" fmla="*/ 264 w 264"/>
              <a:gd name="T5" fmla="*/ 0 h 265"/>
            </a:gdLst>
            <a:ahLst/>
            <a:cxnLst>
              <a:cxn ang="0">
                <a:pos x="T0" y="T1"/>
              </a:cxn>
              <a:cxn ang="0">
                <a:pos x="T2" y="T3"/>
              </a:cxn>
              <a:cxn ang="0">
                <a:pos x="T4" y="T5"/>
              </a:cxn>
            </a:cxnLst>
            <a:rect l="0" t="0" r="r" b="b"/>
            <a:pathLst>
              <a:path w="264" h="265">
                <a:moveTo>
                  <a:pt x="0" y="265"/>
                </a:moveTo>
                <a:lnTo>
                  <a:pt x="26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86" name="Freeform 81">
            <a:extLst>
              <a:ext uri="{FF2B5EF4-FFF2-40B4-BE49-F238E27FC236}">
                <a16:creationId xmlns:a16="http://schemas.microsoft.com/office/drawing/2014/main" xmlns="" id="{F094042E-6A51-40F3-B992-FE18C0B794A6}"/>
              </a:ext>
            </a:extLst>
          </xdr:cNvPr>
          <xdr:cNvSpPr>
            <a:spLocks/>
          </xdr:cNvSpPr>
        </xdr:nvSpPr>
        <xdr:spPr bwMode="auto">
          <a:xfrm>
            <a:off x="2537600" y="5219827"/>
            <a:ext cx="236272" cy="254033"/>
          </a:xfrm>
          <a:custGeom>
            <a:avLst/>
            <a:gdLst>
              <a:gd name="T0" fmla="*/ 0 w 383"/>
              <a:gd name="T1" fmla="*/ 383 h 383"/>
              <a:gd name="T2" fmla="*/ 383 w 383"/>
              <a:gd name="T3" fmla="*/ 0 h 383"/>
              <a:gd name="T4" fmla="*/ 383 w 383"/>
              <a:gd name="T5" fmla="*/ 0 h 383"/>
            </a:gdLst>
            <a:ahLst/>
            <a:cxnLst>
              <a:cxn ang="0">
                <a:pos x="T0" y="T1"/>
              </a:cxn>
              <a:cxn ang="0">
                <a:pos x="T2" y="T3"/>
              </a:cxn>
              <a:cxn ang="0">
                <a:pos x="T4" y="T5"/>
              </a:cxn>
            </a:cxnLst>
            <a:rect l="0" t="0" r="r" b="b"/>
            <a:pathLst>
              <a:path w="383" h="383">
                <a:moveTo>
                  <a:pt x="0" y="383"/>
                </a:moveTo>
                <a:lnTo>
                  <a:pt x="38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87" name="Freeform 80">
            <a:extLst>
              <a:ext uri="{FF2B5EF4-FFF2-40B4-BE49-F238E27FC236}">
                <a16:creationId xmlns:a16="http://schemas.microsoft.com/office/drawing/2014/main" xmlns="" id="{23024012-6F36-4632-B15D-60B8FA63AEF8}"/>
              </a:ext>
            </a:extLst>
          </xdr:cNvPr>
          <xdr:cNvSpPr>
            <a:spLocks/>
          </xdr:cNvSpPr>
        </xdr:nvSpPr>
        <xdr:spPr bwMode="auto">
          <a:xfrm>
            <a:off x="2458991" y="5219827"/>
            <a:ext cx="298168" cy="321801"/>
          </a:xfrm>
          <a:custGeom>
            <a:avLst/>
            <a:gdLst>
              <a:gd name="T0" fmla="*/ 0 w 483"/>
              <a:gd name="T1" fmla="*/ 484 h 484"/>
              <a:gd name="T2" fmla="*/ 483 w 483"/>
              <a:gd name="T3" fmla="*/ 0 h 484"/>
              <a:gd name="T4" fmla="*/ 483 w 483"/>
              <a:gd name="T5" fmla="*/ 0 h 484"/>
            </a:gdLst>
            <a:ahLst/>
            <a:cxnLst>
              <a:cxn ang="0">
                <a:pos x="T0" y="T1"/>
              </a:cxn>
              <a:cxn ang="0">
                <a:pos x="T2" y="T3"/>
              </a:cxn>
              <a:cxn ang="0">
                <a:pos x="T4" y="T5"/>
              </a:cxn>
            </a:cxnLst>
            <a:rect l="0" t="0" r="r" b="b"/>
            <a:pathLst>
              <a:path w="483" h="484">
                <a:moveTo>
                  <a:pt x="0" y="484"/>
                </a:moveTo>
                <a:lnTo>
                  <a:pt x="48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88" name="Freeform 79">
            <a:extLst>
              <a:ext uri="{FF2B5EF4-FFF2-40B4-BE49-F238E27FC236}">
                <a16:creationId xmlns:a16="http://schemas.microsoft.com/office/drawing/2014/main" xmlns="" id="{4D6D9CDB-7071-4070-8087-BF39422F09DA}"/>
              </a:ext>
            </a:extLst>
          </xdr:cNvPr>
          <xdr:cNvSpPr>
            <a:spLocks/>
          </xdr:cNvSpPr>
        </xdr:nvSpPr>
        <xdr:spPr bwMode="auto">
          <a:xfrm>
            <a:off x="2428662" y="5219827"/>
            <a:ext cx="312405" cy="336332"/>
          </a:xfrm>
          <a:custGeom>
            <a:avLst/>
            <a:gdLst>
              <a:gd name="T0" fmla="*/ 0 w 506"/>
              <a:gd name="T1" fmla="*/ 506 h 506"/>
              <a:gd name="T2" fmla="*/ 506 w 506"/>
              <a:gd name="T3" fmla="*/ 0 h 506"/>
              <a:gd name="T4" fmla="*/ 506 w 506"/>
              <a:gd name="T5" fmla="*/ 0 h 506"/>
            </a:gdLst>
            <a:ahLst/>
            <a:cxnLst>
              <a:cxn ang="0">
                <a:pos x="T0" y="T1"/>
              </a:cxn>
              <a:cxn ang="0">
                <a:pos x="T2" y="T3"/>
              </a:cxn>
              <a:cxn ang="0">
                <a:pos x="T4" y="T5"/>
              </a:cxn>
            </a:cxnLst>
            <a:rect l="0" t="0" r="r" b="b"/>
            <a:pathLst>
              <a:path w="506" h="506">
                <a:moveTo>
                  <a:pt x="0" y="506"/>
                </a:moveTo>
                <a:lnTo>
                  <a:pt x="50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89" name="Freeform 78">
            <a:extLst>
              <a:ext uri="{FF2B5EF4-FFF2-40B4-BE49-F238E27FC236}">
                <a16:creationId xmlns:a16="http://schemas.microsoft.com/office/drawing/2014/main" xmlns="" id="{52EB47B3-DBFF-4E52-9815-6D379B0A7AD2}"/>
              </a:ext>
            </a:extLst>
          </xdr:cNvPr>
          <xdr:cNvSpPr>
            <a:spLocks/>
          </xdr:cNvSpPr>
        </xdr:nvSpPr>
        <xdr:spPr bwMode="auto">
          <a:xfrm>
            <a:off x="1991845" y="5219827"/>
            <a:ext cx="187375" cy="201852"/>
          </a:xfrm>
          <a:custGeom>
            <a:avLst/>
            <a:gdLst>
              <a:gd name="T0" fmla="*/ 0 w 304"/>
              <a:gd name="T1" fmla="*/ 304 h 304"/>
              <a:gd name="T2" fmla="*/ 304 w 304"/>
              <a:gd name="T3" fmla="*/ 0 h 304"/>
              <a:gd name="T4" fmla="*/ 304 w 304"/>
              <a:gd name="T5" fmla="*/ 0 h 304"/>
            </a:gdLst>
            <a:ahLst/>
            <a:cxnLst>
              <a:cxn ang="0">
                <a:pos x="T0" y="T1"/>
              </a:cxn>
              <a:cxn ang="0">
                <a:pos x="T2" y="T3"/>
              </a:cxn>
              <a:cxn ang="0">
                <a:pos x="T4" y="T5"/>
              </a:cxn>
            </a:cxnLst>
            <a:rect l="0" t="0" r="r" b="b"/>
            <a:pathLst>
              <a:path w="304" h="304">
                <a:moveTo>
                  <a:pt x="0" y="304"/>
                </a:moveTo>
                <a:lnTo>
                  <a:pt x="30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90" name="Freeform 77">
            <a:extLst>
              <a:ext uri="{FF2B5EF4-FFF2-40B4-BE49-F238E27FC236}">
                <a16:creationId xmlns:a16="http://schemas.microsoft.com/office/drawing/2014/main" xmlns="" id="{F94D6991-D643-42C7-9389-D3EF23F9B77C}"/>
              </a:ext>
            </a:extLst>
          </xdr:cNvPr>
          <xdr:cNvSpPr>
            <a:spLocks/>
          </xdr:cNvSpPr>
        </xdr:nvSpPr>
        <xdr:spPr bwMode="auto">
          <a:xfrm>
            <a:off x="2009177" y="5219827"/>
            <a:ext cx="186757" cy="201192"/>
          </a:xfrm>
          <a:custGeom>
            <a:avLst/>
            <a:gdLst>
              <a:gd name="T0" fmla="*/ 0 w 303"/>
              <a:gd name="T1" fmla="*/ 303 h 303"/>
              <a:gd name="T2" fmla="*/ 303 w 303"/>
              <a:gd name="T3" fmla="*/ 0 h 303"/>
              <a:gd name="T4" fmla="*/ 303 w 303"/>
              <a:gd name="T5" fmla="*/ 0 h 303"/>
            </a:gdLst>
            <a:ahLst/>
            <a:cxnLst>
              <a:cxn ang="0">
                <a:pos x="T0" y="T1"/>
              </a:cxn>
              <a:cxn ang="0">
                <a:pos x="T2" y="T3"/>
              </a:cxn>
              <a:cxn ang="0">
                <a:pos x="T4" y="T5"/>
              </a:cxn>
            </a:cxnLst>
            <a:rect l="0" t="0" r="r" b="b"/>
            <a:pathLst>
              <a:path w="303" h="303">
                <a:moveTo>
                  <a:pt x="0" y="303"/>
                </a:moveTo>
                <a:lnTo>
                  <a:pt x="30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91" name="Freeform 76">
            <a:extLst>
              <a:ext uri="{FF2B5EF4-FFF2-40B4-BE49-F238E27FC236}">
                <a16:creationId xmlns:a16="http://schemas.microsoft.com/office/drawing/2014/main" xmlns="" id="{D8CA6870-1151-4600-A3A9-6F1DEB22C732}"/>
              </a:ext>
            </a:extLst>
          </xdr:cNvPr>
          <xdr:cNvSpPr>
            <a:spLocks/>
          </xdr:cNvSpPr>
        </xdr:nvSpPr>
        <xdr:spPr bwMode="auto">
          <a:xfrm>
            <a:off x="2024481" y="5219827"/>
            <a:ext cx="187545" cy="201192"/>
          </a:xfrm>
          <a:custGeom>
            <a:avLst/>
            <a:gdLst>
              <a:gd name="T0" fmla="*/ 0 w 303"/>
              <a:gd name="T1" fmla="*/ 303 h 303"/>
              <a:gd name="T2" fmla="*/ 303 w 303"/>
              <a:gd name="T3" fmla="*/ 0 h 303"/>
              <a:gd name="T4" fmla="*/ 303 w 303"/>
              <a:gd name="T5" fmla="*/ 0 h 303"/>
            </a:gdLst>
            <a:ahLst/>
            <a:cxnLst>
              <a:cxn ang="0">
                <a:pos x="T0" y="T1"/>
              </a:cxn>
              <a:cxn ang="0">
                <a:pos x="T2" y="T3"/>
              </a:cxn>
              <a:cxn ang="0">
                <a:pos x="T4" y="T5"/>
              </a:cxn>
            </a:cxnLst>
            <a:rect l="0" t="0" r="r" b="b"/>
            <a:pathLst>
              <a:path w="303" h="303">
                <a:moveTo>
                  <a:pt x="0" y="303"/>
                </a:moveTo>
                <a:lnTo>
                  <a:pt x="30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92" name="Freeform 75">
            <a:extLst>
              <a:ext uri="{FF2B5EF4-FFF2-40B4-BE49-F238E27FC236}">
                <a16:creationId xmlns:a16="http://schemas.microsoft.com/office/drawing/2014/main" xmlns="" id="{CED59737-A2DC-464B-B78A-F3007672A82C}"/>
              </a:ext>
            </a:extLst>
          </xdr:cNvPr>
          <xdr:cNvSpPr>
            <a:spLocks/>
          </xdr:cNvSpPr>
        </xdr:nvSpPr>
        <xdr:spPr bwMode="auto">
          <a:xfrm>
            <a:off x="1436019" y="5219827"/>
            <a:ext cx="214779" cy="229595"/>
          </a:xfrm>
          <a:custGeom>
            <a:avLst/>
            <a:gdLst>
              <a:gd name="T0" fmla="*/ 0 w 347"/>
              <a:gd name="T1" fmla="*/ 346 h 346"/>
              <a:gd name="T2" fmla="*/ 347 w 347"/>
              <a:gd name="T3" fmla="*/ 0 h 346"/>
              <a:gd name="T4" fmla="*/ 347 w 347"/>
              <a:gd name="T5" fmla="*/ 0 h 346"/>
            </a:gdLst>
            <a:ahLst/>
            <a:cxnLst>
              <a:cxn ang="0">
                <a:pos x="T0" y="T1"/>
              </a:cxn>
              <a:cxn ang="0">
                <a:pos x="T2" y="T3"/>
              </a:cxn>
              <a:cxn ang="0">
                <a:pos x="T4" y="T5"/>
              </a:cxn>
            </a:cxnLst>
            <a:rect l="0" t="0" r="r" b="b"/>
            <a:pathLst>
              <a:path w="347" h="346">
                <a:moveTo>
                  <a:pt x="0" y="346"/>
                </a:moveTo>
                <a:lnTo>
                  <a:pt x="34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93" name="Freeform 74">
            <a:extLst>
              <a:ext uri="{FF2B5EF4-FFF2-40B4-BE49-F238E27FC236}">
                <a16:creationId xmlns:a16="http://schemas.microsoft.com/office/drawing/2014/main" xmlns="" id="{5AC4DB33-2D20-4F08-9891-E868EC752AED}"/>
              </a:ext>
            </a:extLst>
          </xdr:cNvPr>
          <xdr:cNvSpPr>
            <a:spLocks/>
          </xdr:cNvSpPr>
        </xdr:nvSpPr>
        <xdr:spPr bwMode="auto">
          <a:xfrm>
            <a:off x="1424877" y="5219827"/>
            <a:ext cx="208590" cy="223650"/>
          </a:xfrm>
          <a:custGeom>
            <a:avLst/>
            <a:gdLst>
              <a:gd name="T0" fmla="*/ 0 w 337"/>
              <a:gd name="T1" fmla="*/ 337 h 337"/>
              <a:gd name="T2" fmla="*/ 337 w 337"/>
              <a:gd name="T3" fmla="*/ 0 h 337"/>
              <a:gd name="T4" fmla="*/ 337 w 337"/>
              <a:gd name="T5" fmla="*/ 0 h 337"/>
            </a:gdLst>
            <a:ahLst/>
            <a:cxnLst>
              <a:cxn ang="0">
                <a:pos x="T0" y="T1"/>
              </a:cxn>
              <a:cxn ang="0">
                <a:pos x="T2" y="T3"/>
              </a:cxn>
              <a:cxn ang="0">
                <a:pos x="T4" y="T5"/>
              </a:cxn>
            </a:cxnLst>
            <a:rect l="0" t="0" r="r" b="b"/>
            <a:pathLst>
              <a:path w="337" h="337">
                <a:moveTo>
                  <a:pt x="0" y="337"/>
                </a:moveTo>
                <a:lnTo>
                  <a:pt x="33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94" name="Freeform 73">
            <a:extLst>
              <a:ext uri="{FF2B5EF4-FFF2-40B4-BE49-F238E27FC236}">
                <a16:creationId xmlns:a16="http://schemas.microsoft.com/office/drawing/2014/main" xmlns="" id="{BC2D6E91-DBB5-4261-B87F-F1A2CA56D69F}"/>
              </a:ext>
            </a:extLst>
          </xdr:cNvPr>
          <xdr:cNvSpPr>
            <a:spLocks/>
          </xdr:cNvSpPr>
        </xdr:nvSpPr>
        <xdr:spPr bwMode="auto">
          <a:xfrm>
            <a:off x="1413117" y="5219827"/>
            <a:ext cx="204257" cy="218366"/>
          </a:xfrm>
          <a:custGeom>
            <a:avLst/>
            <a:gdLst>
              <a:gd name="T0" fmla="*/ 0 w 330"/>
              <a:gd name="T1" fmla="*/ 329 h 329"/>
              <a:gd name="T2" fmla="*/ 330 w 330"/>
              <a:gd name="T3" fmla="*/ 0 h 329"/>
              <a:gd name="T4" fmla="*/ 330 w 330"/>
              <a:gd name="T5" fmla="*/ 0 h 329"/>
            </a:gdLst>
            <a:ahLst/>
            <a:cxnLst>
              <a:cxn ang="0">
                <a:pos x="T0" y="T1"/>
              </a:cxn>
              <a:cxn ang="0">
                <a:pos x="T2" y="T3"/>
              </a:cxn>
              <a:cxn ang="0">
                <a:pos x="T4" y="T5"/>
              </a:cxn>
            </a:cxnLst>
            <a:rect l="0" t="0" r="r" b="b"/>
            <a:pathLst>
              <a:path w="330" h="329">
                <a:moveTo>
                  <a:pt x="0" y="329"/>
                </a:moveTo>
                <a:lnTo>
                  <a:pt x="33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98" name="Freeform 69">
            <a:extLst>
              <a:ext uri="{FF2B5EF4-FFF2-40B4-BE49-F238E27FC236}">
                <a16:creationId xmlns:a16="http://schemas.microsoft.com/office/drawing/2014/main" xmlns="" id="{19D14F12-3397-47F0-A548-9F3FB3349BE6}"/>
              </a:ext>
            </a:extLst>
          </xdr:cNvPr>
          <xdr:cNvSpPr>
            <a:spLocks/>
          </xdr:cNvSpPr>
        </xdr:nvSpPr>
        <xdr:spPr bwMode="auto">
          <a:xfrm>
            <a:off x="2849385" y="5519171"/>
            <a:ext cx="175785" cy="186927"/>
          </a:xfrm>
          <a:custGeom>
            <a:avLst/>
            <a:gdLst>
              <a:gd name="T0" fmla="*/ 0 w 284"/>
              <a:gd name="T1" fmla="*/ 283 h 283"/>
              <a:gd name="T2" fmla="*/ 284 w 284"/>
              <a:gd name="T3" fmla="*/ 0 h 283"/>
              <a:gd name="T4" fmla="*/ 284 w 284"/>
              <a:gd name="T5" fmla="*/ 0 h 283"/>
            </a:gdLst>
            <a:ahLst/>
            <a:cxnLst>
              <a:cxn ang="0">
                <a:pos x="T0" y="T1"/>
              </a:cxn>
              <a:cxn ang="0">
                <a:pos x="T2" y="T3"/>
              </a:cxn>
              <a:cxn ang="0">
                <a:pos x="T4" y="T5"/>
              </a:cxn>
            </a:cxnLst>
            <a:rect l="0" t="0" r="r" b="b"/>
            <a:pathLst>
              <a:path w="284" h="283">
                <a:moveTo>
                  <a:pt x="0" y="283"/>
                </a:moveTo>
                <a:lnTo>
                  <a:pt x="28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99" name="Freeform 68">
            <a:extLst>
              <a:ext uri="{FF2B5EF4-FFF2-40B4-BE49-F238E27FC236}">
                <a16:creationId xmlns:a16="http://schemas.microsoft.com/office/drawing/2014/main" xmlns="" id="{C1E3413C-A243-4589-99D4-61E3D3878EDC}"/>
              </a:ext>
            </a:extLst>
          </xdr:cNvPr>
          <xdr:cNvSpPr>
            <a:spLocks/>
          </xdr:cNvSpPr>
        </xdr:nvSpPr>
        <xdr:spPr bwMode="auto">
          <a:xfrm>
            <a:off x="2849385" y="5536344"/>
            <a:ext cx="175785" cy="186927"/>
          </a:xfrm>
          <a:custGeom>
            <a:avLst/>
            <a:gdLst>
              <a:gd name="T0" fmla="*/ 284 w 284"/>
              <a:gd name="T1" fmla="*/ 0 h 283"/>
              <a:gd name="T2" fmla="*/ 0 w 284"/>
              <a:gd name="T3" fmla="*/ 283 h 283"/>
              <a:gd name="T4" fmla="*/ 0 w 284"/>
              <a:gd name="T5" fmla="*/ 283 h 283"/>
            </a:gdLst>
            <a:ahLst/>
            <a:cxnLst>
              <a:cxn ang="0">
                <a:pos x="T0" y="T1"/>
              </a:cxn>
              <a:cxn ang="0">
                <a:pos x="T2" y="T3"/>
              </a:cxn>
              <a:cxn ang="0">
                <a:pos x="T4" y="T5"/>
              </a:cxn>
            </a:cxnLst>
            <a:rect l="0" t="0" r="r" b="b"/>
            <a:pathLst>
              <a:path w="284" h="283">
                <a:moveTo>
                  <a:pt x="284" y="0"/>
                </a:moveTo>
                <a:lnTo>
                  <a:pt x="0" y="283"/>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0" name="Freeform 67">
            <a:extLst>
              <a:ext uri="{FF2B5EF4-FFF2-40B4-BE49-F238E27FC236}">
                <a16:creationId xmlns:a16="http://schemas.microsoft.com/office/drawing/2014/main" xmlns="" id="{27D8844C-80AE-446B-9741-4609D042F716}"/>
              </a:ext>
            </a:extLst>
          </xdr:cNvPr>
          <xdr:cNvSpPr>
            <a:spLocks/>
          </xdr:cNvSpPr>
        </xdr:nvSpPr>
        <xdr:spPr bwMode="auto">
          <a:xfrm>
            <a:off x="2849385" y="5554177"/>
            <a:ext cx="175785" cy="186927"/>
          </a:xfrm>
          <a:custGeom>
            <a:avLst/>
            <a:gdLst>
              <a:gd name="T0" fmla="*/ 0 w 284"/>
              <a:gd name="T1" fmla="*/ 283 h 283"/>
              <a:gd name="T2" fmla="*/ 284 w 284"/>
              <a:gd name="T3" fmla="*/ 0 h 283"/>
              <a:gd name="T4" fmla="*/ 284 w 284"/>
              <a:gd name="T5" fmla="*/ 0 h 283"/>
            </a:gdLst>
            <a:ahLst/>
            <a:cxnLst>
              <a:cxn ang="0">
                <a:pos x="T0" y="T1"/>
              </a:cxn>
              <a:cxn ang="0">
                <a:pos x="T2" y="T3"/>
              </a:cxn>
              <a:cxn ang="0">
                <a:pos x="T4" y="T5"/>
              </a:cxn>
            </a:cxnLst>
            <a:rect l="0" t="0" r="r" b="b"/>
            <a:pathLst>
              <a:path w="284" h="283">
                <a:moveTo>
                  <a:pt x="0" y="283"/>
                </a:moveTo>
                <a:lnTo>
                  <a:pt x="28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1" name="Freeform 66">
            <a:extLst>
              <a:ext uri="{FF2B5EF4-FFF2-40B4-BE49-F238E27FC236}">
                <a16:creationId xmlns:a16="http://schemas.microsoft.com/office/drawing/2014/main" xmlns="" id="{4E5B4802-40CB-4B8C-94A4-D8BE86E6AF77}"/>
              </a:ext>
            </a:extLst>
          </xdr:cNvPr>
          <xdr:cNvSpPr>
            <a:spLocks/>
          </xdr:cNvSpPr>
        </xdr:nvSpPr>
        <xdr:spPr bwMode="auto">
          <a:xfrm>
            <a:off x="312946" y="5746783"/>
            <a:ext cx="2712224" cy="661"/>
          </a:xfrm>
          <a:custGeom>
            <a:avLst/>
            <a:gdLst>
              <a:gd name="T0" fmla="*/ 4387 w 4387"/>
              <a:gd name="T1" fmla="*/ 0 w 4387"/>
              <a:gd name="T2" fmla="*/ 0 w 4387"/>
            </a:gdLst>
            <a:ahLst/>
            <a:cxnLst>
              <a:cxn ang="0">
                <a:pos x="T0" y="0"/>
              </a:cxn>
              <a:cxn ang="0">
                <a:pos x="T1" y="0"/>
              </a:cxn>
              <a:cxn ang="0">
                <a:pos x="T2" y="0"/>
              </a:cxn>
            </a:cxnLst>
            <a:rect l="0" t="0" r="r" b="b"/>
            <a:pathLst>
              <a:path w="4387">
                <a:moveTo>
                  <a:pt x="4387" y="0"/>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2" name="Freeform 65">
            <a:extLst>
              <a:ext uri="{FF2B5EF4-FFF2-40B4-BE49-F238E27FC236}">
                <a16:creationId xmlns:a16="http://schemas.microsoft.com/office/drawing/2014/main" xmlns="" id="{010F5916-D551-43DD-B7C9-B150B9370145}"/>
              </a:ext>
            </a:extLst>
          </xdr:cNvPr>
          <xdr:cNvSpPr>
            <a:spLocks/>
          </xdr:cNvSpPr>
        </xdr:nvSpPr>
        <xdr:spPr bwMode="auto">
          <a:xfrm>
            <a:off x="1455207" y="5746783"/>
            <a:ext cx="164025" cy="175038"/>
          </a:xfrm>
          <a:custGeom>
            <a:avLst/>
            <a:gdLst>
              <a:gd name="T0" fmla="*/ 0 w 265"/>
              <a:gd name="T1" fmla="*/ 265 h 265"/>
              <a:gd name="T2" fmla="*/ 265 w 265"/>
              <a:gd name="T3" fmla="*/ 0 h 265"/>
              <a:gd name="T4" fmla="*/ 265 w 265"/>
              <a:gd name="T5" fmla="*/ 0 h 265"/>
            </a:gdLst>
            <a:ahLst/>
            <a:cxnLst>
              <a:cxn ang="0">
                <a:pos x="T0" y="T1"/>
              </a:cxn>
              <a:cxn ang="0">
                <a:pos x="T2" y="T3"/>
              </a:cxn>
              <a:cxn ang="0">
                <a:pos x="T4" y="T5"/>
              </a:cxn>
            </a:cxnLst>
            <a:rect l="0" t="0" r="r" b="b"/>
            <a:pathLst>
              <a:path w="265" h="265">
                <a:moveTo>
                  <a:pt x="0" y="265"/>
                </a:moveTo>
                <a:lnTo>
                  <a:pt x="265"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3" name="Freeform 64">
            <a:extLst>
              <a:ext uri="{FF2B5EF4-FFF2-40B4-BE49-F238E27FC236}">
                <a16:creationId xmlns:a16="http://schemas.microsoft.com/office/drawing/2014/main" xmlns="" id="{586C3680-089C-4FBA-877C-6FBBF09F0080}"/>
              </a:ext>
            </a:extLst>
          </xdr:cNvPr>
          <xdr:cNvSpPr>
            <a:spLocks/>
          </xdr:cNvSpPr>
        </xdr:nvSpPr>
        <xdr:spPr bwMode="auto">
          <a:xfrm>
            <a:off x="1471918" y="5746783"/>
            <a:ext cx="163406" cy="175038"/>
          </a:xfrm>
          <a:custGeom>
            <a:avLst/>
            <a:gdLst>
              <a:gd name="T0" fmla="*/ 264 w 264"/>
              <a:gd name="T1" fmla="*/ 0 h 265"/>
              <a:gd name="T2" fmla="*/ 0 w 264"/>
              <a:gd name="T3" fmla="*/ 265 h 265"/>
              <a:gd name="T4" fmla="*/ 0 w 264"/>
              <a:gd name="T5" fmla="*/ 265 h 265"/>
            </a:gdLst>
            <a:ahLst/>
            <a:cxnLst>
              <a:cxn ang="0">
                <a:pos x="T0" y="T1"/>
              </a:cxn>
              <a:cxn ang="0">
                <a:pos x="T2" y="T3"/>
              </a:cxn>
              <a:cxn ang="0">
                <a:pos x="T4" y="T5"/>
              </a:cxn>
            </a:cxnLst>
            <a:rect l="0" t="0" r="r" b="b"/>
            <a:pathLst>
              <a:path w="264" h="265">
                <a:moveTo>
                  <a:pt x="264" y="0"/>
                </a:moveTo>
                <a:lnTo>
                  <a:pt x="0" y="265"/>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4" name="Freeform 63">
            <a:extLst>
              <a:ext uri="{FF2B5EF4-FFF2-40B4-BE49-F238E27FC236}">
                <a16:creationId xmlns:a16="http://schemas.microsoft.com/office/drawing/2014/main" xmlns="" id="{E5706E6B-B47D-4F8C-9683-69805B9B8966}"/>
              </a:ext>
            </a:extLst>
          </xdr:cNvPr>
          <xdr:cNvSpPr>
            <a:spLocks/>
          </xdr:cNvSpPr>
        </xdr:nvSpPr>
        <xdr:spPr bwMode="auto">
          <a:xfrm>
            <a:off x="312946" y="5219827"/>
            <a:ext cx="180736" cy="193266"/>
          </a:xfrm>
          <a:custGeom>
            <a:avLst/>
            <a:gdLst>
              <a:gd name="T0" fmla="*/ 0 w 292"/>
              <a:gd name="T1" fmla="*/ 291 h 291"/>
              <a:gd name="T2" fmla="*/ 292 w 292"/>
              <a:gd name="T3" fmla="*/ 0 h 291"/>
              <a:gd name="T4" fmla="*/ 292 w 292"/>
              <a:gd name="T5" fmla="*/ 0 h 291"/>
            </a:gdLst>
            <a:ahLst/>
            <a:cxnLst>
              <a:cxn ang="0">
                <a:pos x="T0" y="T1"/>
              </a:cxn>
              <a:cxn ang="0">
                <a:pos x="T2" y="T3"/>
              </a:cxn>
              <a:cxn ang="0">
                <a:pos x="T4" y="T5"/>
              </a:cxn>
            </a:cxnLst>
            <a:rect l="0" t="0" r="r" b="b"/>
            <a:pathLst>
              <a:path w="292" h="291">
                <a:moveTo>
                  <a:pt x="0" y="291"/>
                </a:moveTo>
                <a:lnTo>
                  <a:pt x="292"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5" name="Freeform 62">
            <a:extLst>
              <a:ext uri="{FF2B5EF4-FFF2-40B4-BE49-F238E27FC236}">
                <a16:creationId xmlns:a16="http://schemas.microsoft.com/office/drawing/2014/main" xmlns="" id="{455398A0-B80E-4BF3-8526-36FFA12AD78D}"/>
              </a:ext>
            </a:extLst>
          </xdr:cNvPr>
          <xdr:cNvSpPr>
            <a:spLocks/>
          </xdr:cNvSpPr>
        </xdr:nvSpPr>
        <xdr:spPr bwMode="auto">
          <a:xfrm>
            <a:off x="312946" y="5219827"/>
            <a:ext cx="197449" cy="210439"/>
          </a:xfrm>
          <a:custGeom>
            <a:avLst/>
            <a:gdLst>
              <a:gd name="T0" fmla="*/ 319 w 319"/>
              <a:gd name="T1" fmla="*/ 0 h 317"/>
              <a:gd name="T2" fmla="*/ 0 w 319"/>
              <a:gd name="T3" fmla="*/ 317 h 317"/>
              <a:gd name="T4" fmla="*/ 0 w 319"/>
              <a:gd name="T5" fmla="*/ 317 h 317"/>
            </a:gdLst>
            <a:ahLst/>
            <a:cxnLst>
              <a:cxn ang="0">
                <a:pos x="T0" y="T1"/>
              </a:cxn>
              <a:cxn ang="0">
                <a:pos x="T2" y="T3"/>
              </a:cxn>
              <a:cxn ang="0">
                <a:pos x="T4" y="T5"/>
              </a:cxn>
            </a:cxnLst>
            <a:rect l="0" t="0" r="r" b="b"/>
            <a:pathLst>
              <a:path w="319" h="317">
                <a:moveTo>
                  <a:pt x="319" y="0"/>
                </a:moveTo>
                <a:lnTo>
                  <a:pt x="0" y="317"/>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6" name="Freeform 61">
            <a:extLst>
              <a:ext uri="{FF2B5EF4-FFF2-40B4-BE49-F238E27FC236}">
                <a16:creationId xmlns:a16="http://schemas.microsoft.com/office/drawing/2014/main" xmlns="" id="{52B6984F-D336-4474-8BCB-356B4B87F9AE}"/>
              </a:ext>
            </a:extLst>
          </xdr:cNvPr>
          <xdr:cNvSpPr>
            <a:spLocks/>
          </xdr:cNvSpPr>
        </xdr:nvSpPr>
        <xdr:spPr bwMode="auto">
          <a:xfrm>
            <a:off x="312946" y="5219827"/>
            <a:ext cx="214160" cy="228274"/>
          </a:xfrm>
          <a:custGeom>
            <a:avLst/>
            <a:gdLst>
              <a:gd name="T0" fmla="*/ 0 w 346"/>
              <a:gd name="T1" fmla="*/ 344 h 344"/>
              <a:gd name="T2" fmla="*/ 346 w 346"/>
              <a:gd name="T3" fmla="*/ 0 h 344"/>
              <a:gd name="T4" fmla="*/ 346 w 346"/>
              <a:gd name="T5" fmla="*/ 0 h 344"/>
            </a:gdLst>
            <a:ahLst/>
            <a:cxnLst>
              <a:cxn ang="0">
                <a:pos x="T0" y="T1"/>
              </a:cxn>
              <a:cxn ang="0">
                <a:pos x="T2" y="T3"/>
              </a:cxn>
              <a:cxn ang="0">
                <a:pos x="T4" y="T5"/>
              </a:cxn>
            </a:cxnLst>
            <a:rect l="0" t="0" r="r" b="b"/>
            <a:pathLst>
              <a:path w="346" h="344">
                <a:moveTo>
                  <a:pt x="0" y="344"/>
                </a:moveTo>
                <a:lnTo>
                  <a:pt x="346"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7" name="Freeform 60">
            <a:extLst>
              <a:ext uri="{FF2B5EF4-FFF2-40B4-BE49-F238E27FC236}">
                <a16:creationId xmlns:a16="http://schemas.microsoft.com/office/drawing/2014/main" xmlns="" id="{4F21B0A7-D73D-4317-9EE4-363E05E1B55C}"/>
              </a:ext>
            </a:extLst>
          </xdr:cNvPr>
          <xdr:cNvSpPr>
            <a:spLocks/>
          </xdr:cNvSpPr>
        </xdr:nvSpPr>
        <xdr:spPr bwMode="auto">
          <a:xfrm>
            <a:off x="1688555" y="5579277"/>
            <a:ext cx="156597" cy="167505"/>
          </a:xfrm>
          <a:custGeom>
            <a:avLst/>
            <a:gdLst>
              <a:gd name="T0" fmla="*/ 0 w 253"/>
              <a:gd name="T1" fmla="*/ 252 h 252"/>
              <a:gd name="T2" fmla="*/ 253 w 253"/>
              <a:gd name="T3" fmla="*/ 0 h 252"/>
              <a:gd name="T4" fmla="*/ 253 w 253"/>
              <a:gd name="T5" fmla="*/ 0 h 252"/>
            </a:gdLst>
            <a:ahLst/>
            <a:cxnLst>
              <a:cxn ang="0">
                <a:pos x="T0" y="T1"/>
              </a:cxn>
              <a:cxn ang="0">
                <a:pos x="T2" y="T3"/>
              </a:cxn>
              <a:cxn ang="0">
                <a:pos x="T4" y="T5"/>
              </a:cxn>
            </a:cxnLst>
            <a:rect l="0" t="0" r="r" b="b"/>
            <a:pathLst>
              <a:path w="253" h="252">
                <a:moveTo>
                  <a:pt x="0" y="252"/>
                </a:moveTo>
                <a:lnTo>
                  <a:pt x="253"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8" name="Freeform 59">
            <a:extLst>
              <a:ext uri="{FF2B5EF4-FFF2-40B4-BE49-F238E27FC236}">
                <a16:creationId xmlns:a16="http://schemas.microsoft.com/office/drawing/2014/main" xmlns="" id="{724126D5-A046-40AA-83E3-F7E0B2788430}"/>
              </a:ext>
            </a:extLst>
          </xdr:cNvPr>
          <xdr:cNvSpPr>
            <a:spLocks/>
          </xdr:cNvSpPr>
        </xdr:nvSpPr>
        <xdr:spPr bwMode="auto">
          <a:xfrm>
            <a:off x="1705266" y="5597111"/>
            <a:ext cx="139885" cy="149672"/>
          </a:xfrm>
          <a:custGeom>
            <a:avLst/>
            <a:gdLst>
              <a:gd name="T0" fmla="*/ 226 w 226"/>
              <a:gd name="T1" fmla="*/ 0 h 225"/>
              <a:gd name="T2" fmla="*/ 0 w 226"/>
              <a:gd name="T3" fmla="*/ 225 h 225"/>
              <a:gd name="T4" fmla="*/ 0 w 226"/>
              <a:gd name="T5" fmla="*/ 225 h 225"/>
            </a:gdLst>
            <a:ahLst/>
            <a:cxnLst>
              <a:cxn ang="0">
                <a:pos x="T0" y="T1"/>
              </a:cxn>
              <a:cxn ang="0">
                <a:pos x="T2" y="T3"/>
              </a:cxn>
              <a:cxn ang="0">
                <a:pos x="T4" y="T5"/>
              </a:cxn>
            </a:cxnLst>
            <a:rect l="0" t="0" r="r" b="b"/>
            <a:pathLst>
              <a:path w="226" h="225">
                <a:moveTo>
                  <a:pt x="226" y="0"/>
                </a:moveTo>
                <a:lnTo>
                  <a:pt x="0" y="225"/>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9" name="Freeform 58">
            <a:extLst>
              <a:ext uri="{FF2B5EF4-FFF2-40B4-BE49-F238E27FC236}">
                <a16:creationId xmlns:a16="http://schemas.microsoft.com/office/drawing/2014/main" xmlns="" id="{E30CF6A0-94E5-4B1F-94D5-9A7432C7D406}"/>
              </a:ext>
            </a:extLst>
          </xdr:cNvPr>
          <xdr:cNvSpPr>
            <a:spLocks/>
          </xdr:cNvSpPr>
        </xdr:nvSpPr>
        <xdr:spPr bwMode="auto">
          <a:xfrm>
            <a:off x="1721359" y="5614285"/>
            <a:ext cx="123792" cy="132498"/>
          </a:xfrm>
          <a:custGeom>
            <a:avLst/>
            <a:gdLst>
              <a:gd name="T0" fmla="*/ 0 w 200"/>
              <a:gd name="T1" fmla="*/ 199 h 199"/>
              <a:gd name="T2" fmla="*/ 200 w 200"/>
              <a:gd name="T3" fmla="*/ 0 h 199"/>
              <a:gd name="T4" fmla="*/ 200 w 200"/>
              <a:gd name="T5" fmla="*/ 0 h 199"/>
            </a:gdLst>
            <a:ahLst/>
            <a:cxnLst>
              <a:cxn ang="0">
                <a:pos x="T0" y="T1"/>
              </a:cxn>
              <a:cxn ang="0">
                <a:pos x="T2" y="T3"/>
              </a:cxn>
              <a:cxn ang="0">
                <a:pos x="T4" y="T5"/>
              </a:cxn>
            </a:cxnLst>
            <a:rect l="0" t="0" r="r" b="b"/>
            <a:pathLst>
              <a:path w="200" h="199">
                <a:moveTo>
                  <a:pt x="0" y="199"/>
                </a:moveTo>
                <a:lnTo>
                  <a:pt x="20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10" name="Freeform 57">
            <a:extLst>
              <a:ext uri="{FF2B5EF4-FFF2-40B4-BE49-F238E27FC236}">
                <a16:creationId xmlns:a16="http://schemas.microsoft.com/office/drawing/2014/main" xmlns="" id="{55519244-6768-427A-AEBE-BA3B2D028C53}"/>
              </a:ext>
            </a:extLst>
          </xdr:cNvPr>
          <xdr:cNvSpPr>
            <a:spLocks/>
          </xdr:cNvSpPr>
        </xdr:nvSpPr>
        <xdr:spPr bwMode="auto">
          <a:xfrm>
            <a:off x="3008458" y="5903326"/>
            <a:ext cx="17331" cy="18494"/>
          </a:xfrm>
          <a:custGeom>
            <a:avLst/>
            <a:gdLst>
              <a:gd name="T0" fmla="*/ 0 w 28"/>
              <a:gd name="T1" fmla="*/ 28 h 28"/>
              <a:gd name="T2" fmla="*/ 28 w 28"/>
              <a:gd name="T3" fmla="*/ 0 h 28"/>
              <a:gd name="T4" fmla="*/ 28 w 28"/>
              <a:gd name="T5" fmla="*/ 0 h 28"/>
            </a:gdLst>
            <a:ahLst/>
            <a:cxnLst>
              <a:cxn ang="0">
                <a:pos x="T0" y="T1"/>
              </a:cxn>
              <a:cxn ang="0">
                <a:pos x="T2" y="T3"/>
              </a:cxn>
              <a:cxn ang="0">
                <a:pos x="T4" y="T5"/>
              </a:cxn>
            </a:cxnLst>
            <a:rect l="0" t="0" r="r" b="b"/>
            <a:pathLst>
              <a:path w="28" h="28">
                <a:moveTo>
                  <a:pt x="0" y="28"/>
                </a:moveTo>
                <a:lnTo>
                  <a:pt x="28"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11" name="Freeform 56">
            <a:extLst>
              <a:ext uri="{FF2B5EF4-FFF2-40B4-BE49-F238E27FC236}">
                <a16:creationId xmlns:a16="http://schemas.microsoft.com/office/drawing/2014/main" xmlns="" id="{7C017AF1-1656-4A37-8C5A-7587745C8933}"/>
              </a:ext>
            </a:extLst>
          </xdr:cNvPr>
          <xdr:cNvSpPr>
            <a:spLocks/>
          </xdr:cNvSpPr>
        </xdr:nvSpPr>
        <xdr:spPr bwMode="auto">
          <a:xfrm>
            <a:off x="2992365" y="5885492"/>
            <a:ext cx="33424" cy="36329"/>
          </a:xfrm>
          <a:custGeom>
            <a:avLst/>
            <a:gdLst>
              <a:gd name="T0" fmla="*/ 0 w 54"/>
              <a:gd name="T1" fmla="*/ 55 h 55"/>
              <a:gd name="T2" fmla="*/ 54 w 54"/>
              <a:gd name="T3" fmla="*/ 0 h 55"/>
              <a:gd name="T4" fmla="*/ 54 w 54"/>
              <a:gd name="T5" fmla="*/ 0 h 55"/>
            </a:gdLst>
            <a:ahLst/>
            <a:cxnLst>
              <a:cxn ang="0">
                <a:pos x="T0" y="T1"/>
              </a:cxn>
              <a:cxn ang="0">
                <a:pos x="T2" y="T3"/>
              </a:cxn>
              <a:cxn ang="0">
                <a:pos x="T4" y="T5"/>
              </a:cxn>
            </a:cxnLst>
            <a:rect l="0" t="0" r="r" b="b"/>
            <a:pathLst>
              <a:path w="54" h="55">
                <a:moveTo>
                  <a:pt x="0" y="55"/>
                </a:moveTo>
                <a:lnTo>
                  <a:pt x="54"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14" name="Line 10">
            <a:extLst>
              <a:ext uri="{FF2B5EF4-FFF2-40B4-BE49-F238E27FC236}">
                <a16:creationId xmlns:a16="http://schemas.microsoft.com/office/drawing/2014/main" xmlns="" id="{A348531E-F889-4B13-87A7-9909D2CE4CDD}"/>
              </a:ext>
            </a:extLst>
          </xdr:cNvPr>
          <xdr:cNvSpPr>
            <a:spLocks noChangeShapeType="1"/>
          </xdr:cNvSpPr>
        </xdr:nvSpPr>
        <xdr:spPr bwMode="auto">
          <a:xfrm flipH="1">
            <a:off x="2262781" y="5739784"/>
            <a:ext cx="0" cy="184679"/>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815" name="Text Box 9">
            <a:extLst>
              <a:ext uri="{FF2B5EF4-FFF2-40B4-BE49-F238E27FC236}">
                <a16:creationId xmlns:a16="http://schemas.microsoft.com/office/drawing/2014/main" xmlns="" id="{9E5E404A-14F4-4D46-A7A5-29446C57D98A}"/>
              </a:ext>
            </a:extLst>
          </xdr:cNvPr>
          <xdr:cNvSpPr txBox="1">
            <a:spLocks noChangeArrowheads="1"/>
          </xdr:cNvSpPr>
        </xdr:nvSpPr>
        <xdr:spPr bwMode="auto">
          <a:xfrm>
            <a:off x="2277017" y="5757351"/>
            <a:ext cx="99034" cy="155883"/>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h</a:t>
            </a:r>
          </a:p>
        </xdr:txBody>
      </xdr:sp>
      <xdr:sp macro="" textlink="">
        <xdr:nvSpPr>
          <xdr:cNvPr id="818" name="Line 6">
            <a:extLst>
              <a:ext uri="{FF2B5EF4-FFF2-40B4-BE49-F238E27FC236}">
                <a16:creationId xmlns:a16="http://schemas.microsoft.com/office/drawing/2014/main" xmlns="" id="{BD31DAB6-4A43-48E4-8BC9-D782D5D0EDF8}"/>
              </a:ext>
            </a:extLst>
          </xdr:cNvPr>
          <xdr:cNvSpPr>
            <a:spLocks noChangeShapeType="1"/>
          </xdr:cNvSpPr>
        </xdr:nvSpPr>
        <xdr:spPr bwMode="auto">
          <a:xfrm flipH="1">
            <a:off x="1494820" y="5701474"/>
            <a:ext cx="349094" cy="0"/>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819" name="Text Box 5">
            <a:extLst>
              <a:ext uri="{FF2B5EF4-FFF2-40B4-BE49-F238E27FC236}">
                <a16:creationId xmlns:a16="http://schemas.microsoft.com/office/drawing/2014/main" xmlns="" id="{2FD442F9-C78A-46F5-A930-9E8EF24D7A60}"/>
              </a:ext>
            </a:extLst>
          </xdr:cNvPr>
          <xdr:cNvSpPr txBox="1">
            <a:spLocks noChangeArrowheads="1"/>
          </xdr:cNvSpPr>
        </xdr:nvSpPr>
        <xdr:spPr bwMode="auto">
          <a:xfrm>
            <a:off x="1575904" y="5533041"/>
            <a:ext cx="203019" cy="155883"/>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BB</a:t>
            </a:r>
          </a:p>
        </xdr:txBody>
      </xdr:sp>
      <xdr:sp macro="" textlink="">
        <xdr:nvSpPr>
          <xdr:cNvPr id="821" name="Line 3">
            <a:extLst>
              <a:ext uri="{FF2B5EF4-FFF2-40B4-BE49-F238E27FC236}">
                <a16:creationId xmlns:a16="http://schemas.microsoft.com/office/drawing/2014/main" xmlns="" id="{1C7F293B-E5EA-4153-81F8-2832498E475A}"/>
              </a:ext>
            </a:extLst>
          </xdr:cNvPr>
          <xdr:cNvSpPr>
            <a:spLocks noChangeShapeType="1"/>
          </xdr:cNvSpPr>
        </xdr:nvSpPr>
        <xdr:spPr bwMode="auto">
          <a:xfrm flipH="1" flipV="1">
            <a:off x="494301" y="5700813"/>
            <a:ext cx="1001137" cy="0"/>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816" name="Arc 101">
            <a:extLst>
              <a:ext uri="{FF2B5EF4-FFF2-40B4-BE49-F238E27FC236}">
                <a16:creationId xmlns:a16="http://schemas.microsoft.com/office/drawing/2014/main" xmlns="" id="{F2A84546-A370-4C5E-A2FC-011750A4F935}"/>
              </a:ext>
            </a:extLst>
          </xdr:cNvPr>
          <xdr:cNvSpPr>
            <a:spLocks/>
          </xdr:cNvSpPr>
        </xdr:nvSpPr>
        <xdr:spPr bwMode="auto">
          <a:xfrm flipV="1">
            <a:off x="815479" y="5419211"/>
            <a:ext cx="337208" cy="216000"/>
          </a:xfrm>
          <a:custGeom>
            <a:avLst/>
            <a:gdLst>
              <a:gd name="G0" fmla="+- 15349 0 0"/>
              <a:gd name="G1" fmla="+- 0 0 0"/>
              <a:gd name="G2" fmla="+- 21600 0 0"/>
              <a:gd name="T0" fmla="*/ 30754 w 30754"/>
              <a:gd name="T1" fmla="*/ 15141 h 21600"/>
              <a:gd name="T2" fmla="*/ 0 w 30754"/>
              <a:gd name="T3" fmla="*/ 15198 h 21600"/>
              <a:gd name="T4" fmla="*/ 15349 w 30754"/>
              <a:gd name="T5" fmla="*/ 0 h 21600"/>
            </a:gdLst>
            <a:ahLst/>
            <a:cxnLst>
              <a:cxn ang="0">
                <a:pos x="T0" y="T1"/>
              </a:cxn>
              <a:cxn ang="0">
                <a:pos x="T2" y="T3"/>
              </a:cxn>
              <a:cxn ang="0">
                <a:pos x="T4" y="T5"/>
              </a:cxn>
            </a:cxnLst>
            <a:rect l="0" t="0" r="r" b="b"/>
            <a:pathLst>
              <a:path w="30754" h="21600" fill="none" extrusionOk="0">
                <a:moveTo>
                  <a:pt x="30753" y="15140"/>
                </a:moveTo>
                <a:cubicBezTo>
                  <a:pt x="26692" y="19272"/>
                  <a:pt x="21142" y="21599"/>
                  <a:pt x="15349" y="21599"/>
                </a:cubicBezTo>
                <a:cubicBezTo>
                  <a:pt x="9583" y="21599"/>
                  <a:pt x="4056" y="19294"/>
                  <a:pt x="0" y="15197"/>
                </a:cubicBezTo>
              </a:path>
              <a:path w="30754" h="21600" stroke="0" extrusionOk="0">
                <a:moveTo>
                  <a:pt x="30753" y="15140"/>
                </a:moveTo>
                <a:cubicBezTo>
                  <a:pt x="26692" y="19272"/>
                  <a:pt x="21142" y="21599"/>
                  <a:pt x="15349" y="21599"/>
                </a:cubicBezTo>
                <a:cubicBezTo>
                  <a:pt x="9583" y="21599"/>
                  <a:pt x="4056" y="19294"/>
                  <a:pt x="0" y="15197"/>
                </a:cubicBezTo>
                <a:lnTo>
                  <a:pt x="15349" y="0"/>
                </a:lnTo>
                <a:close/>
              </a:path>
            </a:pathLst>
          </a:custGeom>
          <a:solidFill>
            <a:schemeClr val="bg1"/>
          </a:solidFill>
          <a:ln w="6350">
            <a:solidFill>
              <a:srgbClr val="000000"/>
            </a:solidFill>
            <a:round/>
            <a:headEnd/>
            <a:tailEnd/>
          </a:ln>
          <a:extLst/>
        </xdr:spPr>
      </xdr:sp>
      <xdr:sp macro="" textlink="">
        <xdr:nvSpPr>
          <xdr:cNvPr id="766" name="Arc 101">
            <a:extLst>
              <a:ext uri="{FF2B5EF4-FFF2-40B4-BE49-F238E27FC236}">
                <a16:creationId xmlns:a16="http://schemas.microsoft.com/office/drawing/2014/main" xmlns="" id="{F2A84546-A370-4C5E-A2FC-011750A4F935}"/>
              </a:ext>
            </a:extLst>
          </xdr:cNvPr>
          <xdr:cNvSpPr>
            <a:spLocks/>
          </xdr:cNvSpPr>
        </xdr:nvSpPr>
        <xdr:spPr bwMode="auto">
          <a:xfrm>
            <a:off x="823233" y="5332249"/>
            <a:ext cx="337208" cy="216000"/>
          </a:xfrm>
          <a:custGeom>
            <a:avLst/>
            <a:gdLst>
              <a:gd name="G0" fmla="+- 15349 0 0"/>
              <a:gd name="G1" fmla="+- 0 0 0"/>
              <a:gd name="G2" fmla="+- 21600 0 0"/>
              <a:gd name="T0" fmla="*/ 30754 w 30754"/>
              <a:gd name="T1" fmla="*/ 15141 h 21600"/>
              <a:gd name="T2" fmla="*/ 0 w 30754"/>
              <a:gd name="T3" fmla="*/ 15198 h 21600"/>
              <a:gd name="T4" fmla="*/ 15349 w 30754"/>
              <a:gd name="T5" fmla="*/ 0 h 21600"/>
            </a:gdLst>
            <a:ahLst/>
            <a:cxnLst>
              <a:cxn ang="0">
                <a:pos x="T0" y="T1"/>
              </a:cxn>
              <a:cxn ang="0">
                <a:pos x="T2" y="T3"/>
              </a:cxn>
              <a:cxn ang="0">
                <a:pos x="T4" y="T5"/>
              </a:cxn>
            </a:cxnLst>
            <a:rect l="0" t="0" r="r" b="b"/>
            <a:pathLst>
              <a:path w="30754" h="21600" fill="none" extrusionOk="0">
                <a:moveTo>
                  <a:pt x="30753" y="15140"/>
                </a:moveTo>
                <a:cubicBezTo>
                  <a:pt x="26692" y="19272"/>
                  <a:pt x="21142" y="21599"/>
                  <a:pt x="15349" y="21599"/>
                </a:cubicBezTo>
                <a:cubicBezTo>
                  <a:pt x="9583" y="21599"/>
                  <a:pt x="4056" y="19294"/>
                  <a:pt x="0" y="15197"/>
                </a:cubicBezTo>
              </a:path>
              <a:path w="30754" h="21600" stroke="0" extrusionOk="0">
                <a:moveTo>
                  <a:pt x="30753" y="15140"/>
                </a:moveTo>
                <a:cubicBezTo>
                  <a:pt x="26692" y="19272"/>
                  <a:pt x="21142" y="21599"/>
                  <a:pt x="15349" y="21599"/>
                </a:cubicBezTo>
                <a:cubicBezTo>
                  <a:pt x="9583" y="21599"/>
                  <a:pt x="4056" y="19294"/>
                  <a:pt x="0" y="15197"/>
                </a:cubicBezTo>
                <a:lnTo>
                  <a:pt x="15349" y="0"/>
                </a:lnTo>
                <a:close/>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22" name="Text Box 2">
            <a:extLst>
              <a:ext uri="{FF2B5EF4-FFF2-40B4-BE49-F238E27FC236}">
                <a16:creationId xmlns:a16="http://schemas.microsoft.com/office/drawing/2014/main" xmlns="" id="{F3E5DF3F-28A2-4738-9C5B-8CAD0F797C6E}"/>
              </a:ext>
            </a:extLst>
          </xdr:cNvPr>
          <xdr:cNvSpPr txBox="1">
            <a:spLocks noChangeArrowheads="1"/>
          </xdr:cNvSpPr>
        </xdr:nvSpPr>
        <xdr:spPr bwMode="auto">
          <a:xfrm>
            <a:off x="937926" y="5555499"/>
            <a:ext cx="111413" cy="1558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B</a:t>
            </a:r>
          </a:p>
        </xdr:txBody>
      </xdr:sp>
      <xdr:grpSp>
        <xdr:nvGrpSpPr>
          <xdr:cNvPr id="4" name="グループ化 3"/>
          <xdr:cNvGrpSpPr/>
        </xdr:nvGrpSpPr>
        <xdr:grpSpPr>
          <a:xfrm>
            <a:off x="1847170" y="5328166"/>
            <a:ext cx="1008564" cy="416714"/>
            <a:chOff x="3374571" y="4889336"/>
            <a:chExt cx="1008564" cy="416714"/>
          </a:xfrm>
        </xdr:grpSpPr>
        <xdr:sp macro="" textlink="">
          <xdr:nvSpPr>
            <xdr:cNvPr id="875" name="Line 401">
              <a:extLst>
                <a:ext uri="{FF2B5EF4-FFF2-40B4-BE49-F238E27FC236}">
                  <a16:creationId xmlns:a16="http://schemas.microsoft.com/office/drawing/2014/main" xmlns="" id="{B04188C3-40CB-49E9-91D7-577C6790E913}"/>
                </a:ext>
              </a:extLst>
            </xdr:cNvPr>
            <xdr:cNvSpPr>
              <a:spLocks noChangeShapeType="1"/>
            </xdr:cNvSpPr>
          </xdr:nvSpPr>
          <xdr:spPr bwMode="auto">
            <a:xfrm flipH="1" flipV="1">
              <a:off x="3381998" y="5256433"/>
              <a:ext cx="1001137" cy="0"/>
            </a:xfrm>
            <a:prstGeom prst="line">
              <a:avLst/>
            </a:prstGeom>
            <a:noFill/>
            <a:ln w="6350">
              <a:solidFill>
                <a:srgbClr val="0000FF"/>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876" name="Text Box 400">
              <a:extLst>
                <a:ext uri="{FF2B5EF4-FFF2-40B4-BE49-F238E27FC236}">
                  <a16:creationId xmlns:a16="http://schemas.microsoft.com/office/drawing/2014/main" xmlns="" id="{E0FF391B-1E6D-4B5B-A550-1694F291A274}"/>
                </a:ext>
              </a:extLst>
            </xdr:cNvPr>
            <xdr:cNvSpPr txBox="1">
              <a:spLocks noChangeArrowheads="1"/>
            </xdr:cNvSpPr>
          </xdr:nvSpPr>
          <xdr:spPr bwMode="auto">
            <a:xfrm>
              <a:off x="3836145" y="5144805"/>
              <a:ext cx="111413" cy="155883"/>
            </a:xfrm>
            <a:prstGeom prst="rect">
              <a:avLst/>
            </a:prstGeom>
            <a:solidFill>
              <a:srgbClr val="FFFF9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0000FF"/>
                  </a:solidFill>
                  <a:latin typeface="Arial"/>
                  <a:cs typeface="Arial"/>
                </a:rPr>
                <a:t>B</a:t>
              </a:r>
            </a:p>
          </xdr:txBody>
        </xdr:sp>
        <xdr:sp macro="" textlink="">
          <xdr:nvSpPr>
            <xdr:cNvPr id="877" name="Rectangle 399">
              <a:extLst>
                <a:ext uri="{FF2B5EF4-FFF2-40B4-BE49-F238E27FC236}">
                  <a16:creationId xmlns:a16="http://schemas.microsoft.com/office/drawing/2014/main" xmlns="" id="{886CF724-FA3D-4A40-82B0-5729167A7BFB}"/>
                </a:ext>
              </a:extLst>
            </xdr:cNvPr>
            <xdr:cNvSpPr>
              <a:spLocks noChangeArrowheads="1"/>
            </xdr:cNvSpPr>
          </xdr:nvSpPr>
          <xdr:spPr bwMode="auto">
            <a:xfrm>
              <a:off x="3375190" y="5041447"/>
              <a:ext cx="330354" cy="26293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90" name="Rectangle 398">
              <a:extLst>
                <a:ext uri="{FF2B5EF4-FFF2-40B4-BE49-F238E27FC236}">
                  <a16:creationId xmlns:a16="http://schemas.microsoft.com/office/drawing/2014/main" xmlns="" id="{65F93619-2EB5-4E22-80EA-2A4F3A4A5DDF}"/>
                </a:ext>
              </a:extLst>
            </xdr:cNvPr>
            <xdr:cNvSpPr>
              <a:spLocks noChangeArrowheads="1"/>
            </xdr:cNvSpPr>
          </xdr:nvSpPr>
          <xdr:spPr bwMode="auto">
            <a:xfrm>
              <a:off x="4044735" y="5038045"/>
              <a:ext cx="332830" cy="26699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91" name="Rectangle 397">
              <a:extLst>
                <a:ext uri="{FF2B5EF4-FFF2-40B4-BE49-F238E27FC236}">
                  <a16:creationId xmlns:a16="http://schemas.microsoft.com/office/drawing/2014/main" xmlns="" id="{33478BA3-B953-49B9-B08F-1052E889CE51}"/>
                </a:ext>
              </a:extLst>
            </xdr:cNvPr>
            <xdr:cNvSpPr>
              <a:spLocks noChangeArrowheads="1"/>
            </xdr:cNvSpPr>
          </xdr:nvSpPr>
          <xdr:spPr bwMode="auto">
            <a:xfrm>
              <a:off x="3698736" y="5119522"/>
              <a:ext cx="363330" cy="18420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94" name="Freeform 396">
              <a:extLst>
                <a:ext uri="{FF2B5EF4-FFF2-40B4-BE49-F238E27FC236}">
                  <a16:creationId xmlns:a16="http://schemas.microsoft.com/office/drawing/2014/main" xmlns="" id="{5390F7B8-6030-440B-AE4B-54EF224F3E01}"/>
                </a:ext>
              </a:extLst>
            </xdr:cNvPr>
            <xdr:cNvSpPr>
              <a:spLocks/>
            </xdr:cNvSpPr>
          </xdr:nvSpPr>
          <xdr:spPr bwMode="auto">
            <a:xfrm>
              <a:off x="3669025" y="5041071"/>
              <a:ext cx="400636" cy="132878"/>
            </a:xfrm>
            <a:custGeom>
              <a:avLst/>
              <a:gdLst>
                <a:gd name="T0" fmla="*/ 54 w 641"/>
                <a:gd name="T1" fmla="*/ 0 h 231"/>
                <a:gd name="T2" fmla="*/ 97 w 641"/>
                <a:gd name="T3" fmla="*/ 19 h 231"/>
                <a:gd name="T4" fmla="*/ 112 w 641"/>
                <a:gd name="T5" fmla="*/ 31 h 231"/>
                <a:gd name="T6" fmla="*/ 119 w 641"/>
                <a:gd name="T7" fmla="*/ 46 h 231"/>
                <a:gd name="T8" fmla="*/ 133 w 641"/>
                <a:gd name="T9" fmla="*/ 51 h 231"/>
                <a:gd name="T10" fmla="*/ 184 w 641"/>
                <a:gd name="T11" fmla="*/ 75 h 231"/>
                <a:gd name="T12" fmla="*/ 284 w 641"/>
                <a:gd name="T13" fmla="*/ 108 h 231"/>
                <a:gd name="T14" fmla="*/ 364 w 641"/>
                <a:gd name="T15" fmla="*/ 111 h 231"/>
                <a:gd name="T16" fmla="*/ 426 w 641"/>
                <a:gd name="T17" fmla="*/ 96 h 231"/>
                <a:gd name="T18" fmla="*/ 476 w 641"/>
                <a:gd name="T19" fmla="*/ 82 h 231"/>
                <a:gd name="T20" fmla="*/ 534 w 641"/>
                <a:gd name="T21" fmla="*/ 58 h 231"/>
                <a:gd name="T22" fmla="*/ 560 w 641"/>
                <a:gd name="T23" fmla="*/ 39 h 231"/>
                <a:gd name="T24" fmla="*/ 584 w 641"/>
                <a:gd name="T25" fmla="*/ 17 h 231"/>
                <a:gd name="T26" fmla="*/ 620 w 641"/>
                <a:gd name="T27" fmla="*/ 10 h 231"/>
                <a:gd name="T28" fmla="*/ 640 w 641"/>
                <a:gd name="T29" fmla="*/ 43 h 231"/>
                <a:gd name="T30" fmla="*/ 628 w 641"/>
                <a:gd name="T31" fmla="*/ 147 h 231"/>
                <a:gd name="T32" fmla="*/ 548 w 641"/>
                <a:gd name="T33" fmla="*/ 209 h 231"/>
                <a:gd name="T34" fmla="*/ 484 w 641"/>
                <a:gd name="T35" fmla="*/ 226 h 231"/>
                <a:gd name="T36" fmla="*/ 440 w 641"/>
                <a:gd name="T37" fmla="*/ 231 h 231"/>
                <a:gd name="T38" fmla="*/ 229 w 641"/>
                <a:gd name="T39" fmla="*/ 214 h 231"/>
                <a:gd name="T40" fmla="*/ 188 w 641"/>
                <a:gd name="T41" fmla="*/ 207 h 231"/>
                <a:gd name="T42" fmla="*/ 85 w 641"/>
                <a:gd name="T43" fmla="*/ 173 h 231"/>
                <a:gd name="T44" fmla="*/ 32 w 641"/>
                <a:gd name="T45" fmla="*/ 147 h 231"/>
                <a:gd name="T46" fmla="*/ 6 w 641"/>
                <a:gd name="T47" fmla="*/ 101 h 231"/>
                <a:gd name="T48" fmla="*/ 40 w 641"/>
                <a:gd name="T49" fmla="*/ 12 h 231"/>
                <a:gd name="T50" fmla="*/ 54 w 641"/>
                <a:gd name="T51" fmla="*/ 0 h 2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641" h="231">
                  <a:moveTo>
                    <a:pt x="54" y="0"/>
                  </a:moveTo>
                  <a:cubicBezTo>
                    <a:pt x="69" y="5"/>
                    <a:pt x="82" y="13"/>
                    <a:pt x="97" y="19"/>
                  </a:cubicBezTo>
                  <a:cubicBezTo>
                    <a:pt x="101" y="24"/>
                    <a:pt x="108" y="26"/>
                    <a:pt x="112" y="31"/>
                  </a:cubicBezTo>
                  <a:cubicBezTo>
                    <a:pt x="122" y="43"/>
                    <a:pt x="104" y="35"/>
                    <a:pt x="119" y="46"/>
                  </a:cubicBezTo>
                  <a:cubicBezTo>
                    <a:pt x="123" y="49"/>
                    <a:pt x="129" y="49"/>
                    <a:pt x="133" y="51"/>
                  </a:cubicBezTo>
                  <a:cubicBezTo>
                    <a:pt x="150" y="60"/>
                    <a:pt x="166" y="67"/>
                    <a:pt x="184" y="75"/>
                  </a:cubicBezTo>
                  <a:cubicBezTo>
                    <a:pt x="220" y="92"/>
                    <a:pt x="243" y="104"/>
                    <a:pt x="284" y="108"/>
                  </a:cubicBezTo>
                  <a:cubicBezTo>
                    <a:pt x="310" y="118"/>
                    <a:pt x="336" y="112"/>
                    <a:pt x="364" y="111"/>
                  </a:cubicBezTo>
                  <a:cubicBezTo>
                    <a:pt x="383" y="103"/>
                    <a:pt x="405" y="100"/>
                    <a:pt x="426" y="96"/>
                  </a:cubicBezTo>
                  <a:cubicBezTo>
                    <a:pt x="443" y="92"/>
                    <a:pt x="459" y="85"/>
                    <a:pt x="476" y="82"/>
                  </a:cubicBezTo>
                  <a:cubicBezTo>
                    <a:pt x="495" y="75"/>
                    <a:pt x="514" y="64"/>
                    <a:pt x="534" y="58"/>
                  </a:cubicBezTo>
                  <a:cubicBezTo>
                    <a:pt x="541" y="48"/>
                    <a:pt x="550" y="45"/>
                    <a:pt x="560" y="39"/>
                  </a:cubicBezTo>
                  <a:cubicBezTo>
                    <a:pt x="565" y="31"/>
                    <a:pt x="575" y="20"/>
                    <a:pt x="584" y="17"/>
                  </a:cubicBezTo>
                  <a:cubicBezTo>
                    <a:pt x="595" y="2"/>
                    <a:pt x="600" y="7"/>
                    <a:pt x="620" y="10"/>
                  </a:cubicBezTo>
                  <a:cubicBezTo>
                    <a:pt x="633" y="18"/>
                    <a:pt x="634" y="30"/>
                    <a:pt x="640" y="43"/>
                  </a:cubicBezTo>
                  <a:cubicBezTo>
                    <a:pt x="638" y="68"/>
                    <a:pt x="641" y="124"/>
                    <a:pt x="628" y="147"/>
                  </a:cubicBezTo>
                  <a:cubicBezTo>
                    <a:pt x="611" y="176"/>
                    <a:pt x="581" y="201"/>
                    <a:pt x="548" y="209"/>
                  </a:cubicBezTo>
                  <a:cubicBezTo>
                    <a:pt x="531" y="218"/>
                    <a:pt x="503" y="223"/>
                    <a:pt x="484" y="226"/>
                  </a:cubicBezTo>
                  <a:cubicBezTo>
                    <a:pt x="469" y="228"/>
                    <a:pt x="440" y="231"/>
                    <a:pt x="440" y="231"/>
                  </a:cubicBezTo>
                  <a:cubicBezTo>
                    <a:pt x="367" y="229"/>
                    <a:pt x="301" y="221"/>
                    <a:pt x="229" y="214"/>
                  </a:cubicBezTo>
                  <a:cubicBezTo>
                    <a:pt x="215" y="211"/>
                    <a:pt x="202" y="210"/>
                    <a:pt x="188" y="207"/>
                  </a:cubicBezTo>
                  <a:cubicBezTo>
                    <a:pt x="153" y="199"/>
                    <a:pt x="120" y="183"/>
                    <a:pt x="85" y="173"/>
                  </a:cubicBezTo>
                  <a:cubicBezTo>
                    <a:pt x="71" y="163"/>
                    <a:pt x="49" y="151"/>
                    <a:pt x="32" y="147"/>
                  </a:cubicBezTo>
                  <a:cubicBezTo>
                    <a:pt x="19" y="138"/>
                    <a:pt x="10" y="116"/>
                    <a:pt x="6" y="101"/>
                  </a:cubicBezTo>
                  <a:cubicBezTo>
                    <a:pt x="1" y="51"/>
                    <a:pt x="0" y="37"/>
                    <a:pt x="40" y="12"/>
                  </a:cubicBezTo>
                  <a:cubicBezTo>
                    <a:pt x="45" y="3"/>
                    <a:pt x="49" y="7"/>
                    <a:pt x="54"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3" name="Freeform 104">
              <a:extLst>
                <a:ext uri="{FF2B5EF4-FFF2-40B4-BE49-F238E27FC236}">
                  <a16:creationId xmlns:a16="http://schemas.microsoft.com/office/drawing/2014/main" xmlns="" id="{76FF523B-41BA-41DD-BD0C-BC66DF7145D8}"/>
                </a:ext>
              </a:extLst>
            </xdr:cNvPr>
            <xdr:cNvSpPr>
              <a:spLocks/>
            </xdr:cNvSpPr>
          </xdr:nvSpPr>
          <xdr:spPr bwMode="auto">
            <a:xfrm>
              <a:off x="3375809" y="5039650"/>
              <a:ext cx="619" cy="266400"/>
            </a:xfrm>
            <a:custGeom>
              <a:avLst/>
              <a:gdLst>
                <a:gd name="T0" fmla="*/ 377 h 377"/>
                <a:gd name="T1" fmla="*/ 0 h 377"/>
                <a:gd name="T2" fmla="*/ 0 h 377"/>
              </a:gdLst>
              <a:ahLst/>
              <a:cxnLst>
                <a:cxn ang="0">
                  <a:pos x="0" y="T0"/>
                </a:cxn>
                <a:cxn ang="0">
                  <a:pos x="0" y="T1"/>
                </a:cxn>
                <a:cxn ang="0">
                  <a:pos x="0" y="T2"/>
                </a:cxn>
              </a:cxnLst>
              <a:rect l="0" t="0" r="r" b="b"/>
              <a:pathLst>
                <a:path h="377">
                  <a:moveTo>
                    <a:pt x="0" y="377"/>
                  </a:moveTo>
                  <a:lnTo>
                    <a:pt x="0"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14" name="Freeform 103">
              <a:extLst>
                <a:ext uri="{FF2B5EF4-FFF2-40B4-BE49-F238E27FC236}">
                  <a16:creationId xmlns:a16="http://schemas.microsoft.com/office/drawing/2014/main" xmlns="" id="{5FAF42E9-E8F1-4119-9EE7-90A68ED42E0E}"/>
                </a:ext>
              </a:extLst>
            </xdr:cNvPr>
            <xdr:cNvSpPr>
              <a:spLocks/>
            </xdr:cNvSpPr>
          </xdr:nvSpPr>
          <xdr:spPr bwMode="auto">
            <a:xfrm>
              <a:off x="4379421" y="5039650"/>
              <a:ext cx="619" cy="266400"/>
            </a:xfrm>
            <a:custGeom>
              <a:avLst/>
              <a:gdLst>
                <a:gd name="T0" fmla="*/ 0 h 377"/>
                <a:gd name="T1" fmla="*/ 377 h 377"/>
                <a:gd name="T2" fmla="*/ 377 h 377"/>
              </a:gdLst>
              <a:ahLst/>
              <a:cxnLst>
                <a:cxn ang="0">
                  <a:pos x="0" y="T0"/>
                </a:cxn>
                <a:cxn ang="0">
                  <a:pos x="0" y="T1"/>
                </a:cxn>
                <a:cxn ang="0">
                  <a:pos x="0" y="T2"/>
                </a:cxn>
              </a:cxnLst>
              <a:rect l="0" t="0" r="r" b="b"/>
              <a:pathLst>
                <a:path h="377">
                  <a:moveTo>
                    <a:pt x="0" y="0"/>
                  </a:moveTo>
                  <a:lnTo>
                    <a:pt x="0" y="377"/>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15" name="Arc 102">
              <a:extLst>
                <a:ext uri="{FF2B5EF4-FFF2-40B4-BE49-F238E27FC236}">
                  <a16:creationId xmlns:a16="http://schemas.microsoft.com/office/drawing/2014/main" xmlns="" id="{44FFE06B-8621-489E-89D4-4FBA6B30F998}"/>
                </a:ext>
              </a:extLst>
            </xdr:cNvPr>
            <xdr:cNvSpPr>
              <a:spLocks/>
            </xdr:cNvSpPr>
          </xdr:nvSpPr>
          <xdr:spPr bwMode="auto">
            <a:xfrm>
              <a:off x="3374571" y="4977960"/>
              <a:ext cx="333449" cy="216000"/>
            </a:xfrm>
            <a:custGeom>
              <a:avLst/>
              <a:gdLst>
                <a:gd name="G0" fmla="+- 15401 0 0"/>
                <a:gd name="G1" fmla="+- 21600 0 0"/>
                <a:gd name="G2" fmla="+- 21600 0 0"/>
                <a:gd name="T0" fmla="*/ 0 w 30858"/>
                <a:gd name="T1" fmla="*/ 6455 h 21600"/>
                <a:gd name="T2" fmla="*/ 30858 w 30858"/>
                <a:gd name="T3" fmla="*/ 6512 h 21600"/>
                <a:gd name="T4" fmla="*/ 15401 w 30858"/>
                <a:gd name="T5" fmla="*/ 21600 h 21600"/>
              </a:gdLst>
              <a:ahLst/>
              <a:cxnLst>
                <a:cxn ang="0">
                  <a:pos x="T0" y="T1"/>
                </a:cxn>
                <a:cxn ang="0">
                  <a:pos x="T2" y="T3"/>
                </a:cxn>
                <a:cxn ang="0">
                  <a:pos x="T4" y="T5"/>
                </a:cxn>
              </a:cxnLst>
              <a:rect l="0" t="0" r="r" b="b"/>
              <a:pathLst>
                <a:path w="30858" h="21600" fill="none" extrusionOk="0">
                  <a:moveTo>
                    <a:pt x="0" y="6455"/>
                  </a:moveTo>
                  <a:cubicBezTo>
                    <a:pt x="4060" y="2325"/>
                    <a:pt x="9609" y="0"/>
                    <a:pt x="15401" y="0"/>
                  </a:cubicBezTo>
                  <a:cubicBezTo>
                    <a:pt x="21220" y="0"/>
                    <a:pt x="26793" y="2347"/>
                    <a:pt x="30857" y="6512"/>
                  </a:cubicBezTo>
                </a:path>
                <a:path w="30858" h="21600" stroke="0" extrusionOk="0">
                  <a:moveTo>
                    <a:pt x="0" y="6455"/>
                  </a:moveTo>
                  <a:cubicBezTo>
                    <a:pt x="4060" y="2325"/>
                    <a:pt x="9609" y="0"/>
                    <a:pt x="15401" y="0"/>
                  </a:cubicBezTo>
                  <a:cubicBezTo>
                    <a:pt x="21220" y="0"/>
                    <a:pt x="26793" y="2347"/>
                    <a:pt x="30857" y="6512"/>
                  </a:cubicBezTo>
                  <a:lnTo>
                    <a:pt x="15401" y="21600"/>
                  </a:lnTo>
                  <a:close/>
                </a:path>
              </a:pathLst>
            </a:custGeom>
            <a:solidFill>
              <a:srgbClr val="FFFFFF"/>
            </a:solidFill>
            <a:ln w="6350">
              <a:solidFill>
                <a:srgbClr val="000000"/>
              </a:solidFill>
              <a:round/>
              <a:headEnd/>
              <a:tailEnd/>
            </a:ln>
          </xdr:spPr>
        </xdr:sp>
        <xdr:sp macro="" textlink="">
          <xdr:nvSpPr>
            <xdr:cNvPr id="916" name="Arc 100">
              <a:extLst>
                <a:ext uri="{FF2B5EF4-FFF2-40B4-BE49-F238E27FC236}">
                  <a16:creationId xmlns:a16="http://schemas.microsoft.com/office/drawing/2014/main" xmlns="" id="{8058B038-E57C-4D56-ACEA-1A2120A04E31}"/>
                </a:ext>
              </a:extLst>
            </xdr:cNvPr>
            <xdr:cNvSpPr>
              <a:spLocks/>
            </xdr:cNvSpPr>
          </xdr:nvSpPr>
          <xdr:spPr bwMode="auto">
            <a:xfrm>
              <a:off x="4044735" y="4977960"/>
              <a:ext cx="333449" cy="216000"/>
            </a:xfrm>
            <a:custGeom>
              <a:avLst/>
              <a:gdLst>
                <a:gd name="G0" fmla="+- 15415 0 0"/>
                <a:gd name="G1" fmla="+- 21600 0 0"/>
                <a:gd name="G2" fmla="+- 21600 0 0"/>
                <a:gd name="T0" fmla="*/ 0 w 30872"/>
                <a:gd name="T1" fmla="*/ 6470 h 21600"/>
                <a:gd name="T2" fmla="*/ 30872 w 30872"/>
                <a:gd name="T3" fmla="*/ 6512 h 21600"/>
                <a:gd name="T4" fmla="*/ 15415 w 30872"/>
                <a:gd name="T5" fmla="*/ 21600 h 21600"/>
              </a:gdLst>
              <a:ahLst/>
              <a:cxnLst>
                <a:cxn ang="0">
                  <a:pos x="T0" y="T1"/>
                </a:cxn>
                <a:cxn ang="0">
                  <a:pos x="T2" y="T3"/>
                </a:cxn>
                <a:cxn ang="0">
                  <a:pos x="T4" y="T5"/>
                </a:cxn>
              </a:cxnLst>
              <a:rect l="0" t="0" r="r" b="b"/>
              <a:pathLst>
                <a:path w="30872" h="21600" fill="none" extrusionOk="0">
                  <a:moveTo>
                    <a:pt x="-1" y="6469"/>
                  </a:moveTo>
                  <a:cubicBezTo>
                    <a:pt x="4061" y="2331"/>
                    <a:pt x="9616" y="0"/>
                    <a:pt x="15415" y="0"/>
                  </a:cubicBezTo>
                  <a:cubicBezTo>
                    <a:pt x="21234" y="0"/>
                    <a:pt x="26807" y="2347"/>
                    <a:pt x="30871" y="6512"/>
                  </a:cubicBezTo>
                </a:path>
                <a:path w="30872" h="21600" stroke="0" extrusionOk="0">
                  <a:moveTo>
                    <a:pt x="-1" y="6469"/>
                  </a:moveTo>
                  <a:cubicBezTo>
                    <a:pt x="4061" y="2331"/>
                    <a:pt x="9616" y="0"/>
                    <a:pt x="15415" y="0"/>
                  </a:cubicBezTo>
                  <a:cubicBezTo>
                    <a:pt x="21234" y="0"/>
                    <a:pt x="26807" y="2347"/>
                    <a:pt x="30871" y="6512"/>
                  </a:cubicBezTo>
                  <a:lnTo>
                    <a:pt x="15415" y="21600"/>
                  </a:lnTo>
                  <a:close/>
                </a:path>
              </a:pathLst>
            </a:custGeom>
            <a:solidFill>
              <a:srgbClr val="FFFFFF"/>
            </a:solidFill>
            <a:ln w="6350">
              <a:solidFill>
                <a:srgbClr val="000000"/>
              </a:solidFill>
              <a:round/>
              <a:headEnd/>
              <a:tailEnd/>
            </a:ln>
          </xdr:spPr>
        </xdr:sp>
        <xdr:sp macro="" textlink="">
          <xdr:nvSpPr>
            <xdr:cNvPr id="918" name="Arc 101">
              <a:extLst>
                <a:ext uri="{FF2B5EF4-FFF2-40B4-BE49-F238E27FC236}">
                  <a16:creationId xmlns:a16="http://schemas.microsoft.com/office/drawing/2014/main" xmlns="" id="{F2A84546-A370-4C5E-A2FC-011750A4F935}"/>
                </a:ext>
              </a:extLst>
            </xdr:cNvPr>
            <xdr:cNvSpPr>
              <a:spLocks/>
            </xdr:cNvSpPr>
          </xdr:nvSpPr>
          <xdr:spPr bwMode="auto">
            <a:xfrm flipV="1">
              <a:off x="3707945" y="4976812"/>
              <a:ext cx="330581" cy="216000"/>
            </a:xfrm>
            <a:custGeom>
              <a:avLst/>
              <a:gdLst>
                <a:gd name="G0" fmla="+- 15349 0 0"/>
                <a:gd name="G1" fmla="+- 0 0 0"/>
                <a:gd name="G2" fmla="+- 21600 0 0"/>
                <a:gd name="T0" fmla="*/ 30754 w 30754"/>
                <a:gd name="T1" fmla="*/ 15141 h 21600"/>
                <a:gd name="T2" fmla="*/ 0 w 30754"/>
                <a:gd name="T3" fmla="*/ 15198 h 21600"/>
                <a:gd name="T4" fmla="*/ 15349 w 30754"/>
                <a:gd name="T5" fmla="*/ 0 h 21600"/>
              </a:gdLst>
              <a:ahLst/>
              <a:cxnLst>
                <a:cxn ang="0">
                  <a:pos x="T0" y="T1"/>
                </a:cxn>
                <a:cxn ang="0">
                  <a:pos x="T2" y="T3"/>
                </a:cxn>
                <a:cxn ang="0">
                  <a:pos x="T4" y="T5"/>
                </a:cxn>
              </a:cxnLst>
              <a:rect l="0" t="0" r="r" b="b"/>
              <a:pathLst>
                <a:path w="30754" h="21600" fill="none" extrusionOk="0">
                  <a:moveTo>
                    <a:pt x="30753" y="15140"/>
                  </a:moveTo>
                  <a:cubicBezTo>
                    <a:pt x="26692" y="19272"/>
                    <a:pt x="21142" y="21599"/>
                    <a:pt x="15349" y="21599"/>
                  </a:cubicBezTo>
                  <a:cubicBezTo>
                    <a:pt x="9583" y="21599"/>
                    <a:pt x="4056" y="19294"/>
                    <a:pt x="0" y="15197"/>
                  </a:cubicBezTo>
                </a:path>
                <a:path w="30754" h="21600" stroke="0" extrusionOk="0">
                  <a:moveTo>
                    <a:pt x="30753" y="15140"/>
                  </a:moveTo>
                  <a:cubicBezTo>
                    <a:pt x="26692" y="19272"/>
                    <a:pt x="21142" y="21599"/>
                    <a:pt x="15349" y="21599"/>
                  </a:cubicBezTo>
                  <a:cubicBezTo>
                    <a:pt x="9583" y="21599"/>
                    <a:pt x="4056" y="19294"/>
                    <a:pt x="0" y="15197"/>
                  </a:cubicBezTo>
                  <a:lnTo>
                    <a:pt x="15349" y="0"/>
                  </a:lnTo>
                  <a:close/>
                </a:path>
              </a:pathLst>
            </a:custGeom>
            <a:solidFill>
              <a:schemeClr val="bg1"/>
            </a:solidFill>
            <a:ln w="6350">
              <a:solidFill>
                <a:srgbClr val="000000"/>
              </a:solidFill>
              <a:round/>
              <a:headEnd/>
              <a:tailEnd/>
            </a:ln>
            <a:extLst/>
          </xdr:spPr>
        </xdr:sp>
        <xdr:sp macro="" textlink="">
          <xdr:nvSpPr>
            <xdr:cNvPr id="920" name="Arc 101">
              <a:extLst>
                <a:ext uri="{FF2B5EF4-FFF2-40B4-BE49-F238E27FC236}">
                  <a16:creationId xmlns:a16="http://schemas.microsoft.com/office/drawing/2014/main" xmlns="" id="{F2A84546-A370-4C5E-A2FC-011750A4F935}"/>
                </a:ext>
              </a:extLst>
            </xdr:cNvPr>
            <xdr:cNvSpPr>
              <a:spLocks/>
            </xdr:cNvSpPr>
          </xdr:nvSpPr>
          <xdr:spPr bwMode="auto">
            <a:xfrm>
              <a:off x="3707267" y="4889336"/>
              <a:ext cx="337208" cy="216000"/>
            </a:xfrm>
            <a:custGeom>
              <a:avLst/>
              <a:gdLst>
                <a:gd name="G0" fmla="+- 15349 0 0"/>
                <a:gd name="G1" fmla="+- 0 0 0"/>
                <a:gd name="G2" fmla="+- 21600 0 0"/>
                <a:gd name="T0" fmla="*/ 30754 w 30754"/>
                <a:gd name="T1" fmla="*/ 15141 h 21600"/>
                <a:gd name="T2" fmla="*/ 0 w 30754"/>
                <a:gd name="T3" fmla="*/ 15198 h 21600"/>
                <a:gd name="T4" fmla="*/ 15349 w 30754"/>
                <a:gd name="T5" fmla="*/ 0 h 21600"/>
              </a:gdLst>
              <a:ahLst/>
              <a:cxnLst>
                <a:cxn ang="0">
                  <a:pos x="T0" y="T1"/>
                </a:cxn>
                <a:cxn ang="0">
                  <a:pos x="T2" y="T3"/>
                </a:cxn>
                <a:cxn ang="0">
                  <a:pos x="T4" y="T5"/>
                </a:cxn>
              </a:cxnLst>
              <a:rect l="0" t="0" r="r" b="b"/>
              <a:pathLst>
                <a:path w="30754" h="21600" fill="none" extrusionOk="0">
                  <a:moveTo>
                    <a:pt x="30753" y="15140"/>
                  </a:moveTo>
                  <a:cubicBezTo>
                    <a:pt x="26692" y="19272"/>
                    <a:pt x="21142" y="21599"/>
                    <a:pt x="15349" y="21599"/>
                  </a:cubicBezTo>
                  <a:cubicBezTo>
                    <a:pt x="9583" y="21599"/>
                    <a:pt x="4056" y="19294"/>
                    <a:pt x="0" y="15197"/>
                  </a:cubicBezTo>
                </a:path>
                <a:path w="30754" h="21600" stroke="0" extrusionOk="0">
                  <a:moveTo>
                    <a:pt x="30753" y="15140"/>
                  </a:moveTo>
                  <a:cubicBezTo>
                    <a:pt x="26692" y="19272"/>
                    <a:pt x="21142" y="21599"/>
                    <a:pt x="15349" y="21599"/>
                  </a:cubicBezTo>
                  <a:cubicBezTo>
                    <a:pt x="9583" y="21599"/>
                    <a:pt x="4056" y="19294"/>
                    <a:pt x="0" y="15197"/>
                  </a:cubicBezTo>
                  <a:lnTo>
                    <a:pt x="15349" y="0"/>
                  </a:lnTo>
                  <a:close/>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3" name="グループ化 2"/>
          <xdr:cNvGrpSpPr/>
        </xdr:nvGrpSpPr>
        <xdr:grpSpPr>
          <a:xfrm>
            <a:off x="2014421" y="5222470"/>
            <a:ext cx="422907" cy="518636"/>
            <a:chOff x="2014421" y="5222470"/>
            <a:chExt cx="422907" cy="518636"/>
          </a:xfrm>
        </xdr:grpSpPr>
        <xdr:sp macro="" textlink="">
          <xdr:nvSpPr>
            <xdr:cNvPr id="812" name="Line 12">
              <a:extLst>
                <a:ext uri="{FF2B5EF4-FFF2-40B4-BE49-F238E27FC236}">
                  <a16:creationId xmlns:a16="http://schemas.microsoft.com/office/drawing/2014/main" xmlns="" id="{C55F45B7-7400-49B5-846E-557C8F1DC71D}"/>
                </a:ext>
              </a:extLst>
            </xdr:cNvPr>
            <xdr:cNvSpPr>
              <a:spLocks noChangeShapeType="1"/>
            </xdr:cNvSpPr>
          </xdr:nvSpPr>
          <xdr:spPr bwMode="auto">
            <a:xfrm flipH="1">
              <a:off x="2261543" y="5222470"/>
              <a:ext cx="0" cy="518636"/>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813" name="Text Box 11">
              <a:extLst>
                <a:ext uri="{FF2B5EF4-FFF2-40B4-BE49-F238E27FC236}">
                  <a16:creationId xmlns:a16="http://schemas.microsoft.com/office/drawing/2014/main" xmlns="" id="{75775863-8B9F-42CD-8352-FE5731FEA597}"/>
                </a:ext>
              </a:extLst>
            </xdr:cNvPr>
            <xdr:cNvSpPr txBox="1">
              <a:spLocks noChangeArrowheads="1"/>
            </xdr:cNvSpPr>
          </xdr:nvSpPr>
          <xdr:spPr bwMode="auto">
            <a:xfrm>
              <a:off x="2264019" y="5300805"/>
              <a:ext cx="173309" cy="155883"/>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hh</a:t>
              </a:r>
            </a:p>
          </xdr:txBody>
        </xdr:sp>
        <xdr:sp macro="" textlink="">
          <xdr:nvSpPr>
            <xdr:cNvPr id="823" name="Line 8">
              <a:extLst>
                <a:ext uri="{FF2B5EF4-FFF2-40B4-BE49-F238E27FC236}">
                  <a16:creationId xmlns:a16="http://schemas.microsoft.com/office/drawing/2014/main" xmlns="" id="{34B85A18-FDEE-4ADE-99CD-28517243B7EB}"/>
                </a:ext>
              </a:extLst>
            </xdr:cNvPr>
            <xdr:cNvSpPr>
              <a:spLocks noChangeShapeType="1"/>
            </xdr:cNvSpPr>
          </xdr:nvSpPr>
          <xdr:spPr bwMode="auto">
            <a:xfrm flipH="1">
              <a:off x="2014421" y="5424993"/>
              <a:ext cx="0" cy="302036"/>
            </a:xfrm>
            <a:prstGeom prst="line">
              <a:avLst/>
            </a:prstGeom>
            <a:noFill/>
            <a:ln w="6350">
              <a:solidFill>
                <a:srgbClr val="FF0000"/>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824" name="Text Box 7">
              <a:extLst>
                <a:ext uri="{FF2B5EF4-FFF2-40B4-BE49-F238E27FC236}">
                  <a16:creationId xmlns:a16="http://schemas.microsoft.com/office/drawing/2014/main" xmlns="" id="{97607117-78E1-4E5D-BC34-0291D773ADC7}"/>
                </a:ext>
              </a:extLst>
            </xdr:cNvPr>
            <xdr:cNvSpPr txBox="1">
              <a:spLocks noChangeArrowheads="1"/>
            </xdr:cNvSpPr>
          </xdr:nvSpPr>
          <xdr:spPr bwMode="auto">
            <a:xfrm>
              <a:off x="2041464" y="5539647"/>
              <a:ext cx="194925" cy="155883"/>
            </a:xfrm>
            <a:prstGeom prst="rect">
              <a:avLst/>
            </a:prstGeom>
            <a:noFill/>
            <a:ln>
              <a:noFill/>
            </a:ln>
            <a:extLst>
              <a:ext uri="{909E8E84-426E-40DD-AFC4-6F175D3DCCD1}">
                <a14:hiddenFill xmlns:a14="http://schemas.microsoft.com/office/drawing/2010/main">
                  <a:solidFill>
                    <a:srgbClr val="FFFF99"/>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 tIns="7200" rIns="7200" bIns="7200" anchor="t" upright="1"/>
            <a:lstStyle/>
            <a:p>
              <a:pPr algn="l" rtl="0">
                <a:defRPr sz="1000"/>
              </a:pPr>
              <a:r>
                <a:rPr lang="ja-JP" altLang="en-US" sz="1000" b="0" i="0" u="none" strike="noStrike" baseline="0">
                  <a:solidFill>
                    <a:srgbClr val="FF0000"/>
                  </a:solidFill>
                  <a:latin typeface="Arial"/>
                  <a:cs typeface="Arial"/>
                </a:rPr>
                <a:t>h</a:t>
              </a:r>
              <a:r>
                <a:rPr lang="en-US" altLang="ja-JP" sz="1000" b="0" i="0" u="none" strike="noStrike" baseline="0">
                  <a:solidFill>
                    <a:srgbClr val="FF0000"/>
                  </a:solidFill>
                  <a:latin typeface="Arial"/>
                  <a:cs typeface="Arial"/>
                </a:rPr>
                <a:t>C</a:t>
              </a: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152400</xdr:colOff>
      <xdr:row>3</xdr:row>
      <xdr:rowOff>104775</xdr:rowOff>
    </xdr:from>
    <xdr:to>
      <xdr:col>29</xdr:col>
      <xdr:colOff>19051</xdr:colOff>
      <xdr:row>34</xdr:row>
      <xdr:rowOff>66675</xdr:rowOff>
    </xdr:to>
    <xdr:graphicFrame macro="">
      <xdr:nvGraphicFramePr>
        <xdr:cNvPr id="2" name="グラフ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0.85248</cdr:x>
      <cdr:y>0.3404</cdr:y>
    </cdr:from>
    <cdr:to>
      <cdr:x>0.93351</cdr:x>
      <cdr:y>0.36704</cdr:y>
    </cdr:to>
    <cdr:sp macro="" textlink="">
      <cdr:nvSpPr>
        <cdr:cNvPr id="30722" name="Text Box 1"/>
        <cdr:cNvSpPr txBox="1">
          <a:spLocks xmlns:a="http://schemas.openxmlformats.org/drawingml/2006/main" noChangeArrowheads="1"/>
        </cdr:cNvSpPr>
      </cdr:nvSpPr>
      <cdr:spPr bwMode="auto">
        <a:xfrm xmlns:a="http://schemas.openxmlformats.org/drawingml/2006/main">
          <a:off x="3892614" y="2444621"/>
          <a:ext cx="369662" cy="19108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Lr-80</a:t>
          </a:r>
        </a:p>
        <a:p xmlns:a="http://schemas.openxmlformats.org/drawingml/2006/main">
          <a:pPr algn="ctr" rtl="0">
            <a:defRPr sz="1000"/>
          </a:pPr>
          <a:endParaRPr lang="ja-JP" altLang="en-US"/>
        </a:p>
      </cdr:txBody>
    </cdr:sp>
  </cdr:relSizeAnchor>
  <cdr:relSizeAnchor xmlns:cdr="http://schemas.openxmlformats.org/drawingml/2006/chartDrawing">
    <cdr:from>
      <cdr:x>0.85248</cdr:x>
      <cdr:y>0.46991</cdr:y>
    </cdr:from>
    <cdr:to>
      <cdr:x>0.93351</cdr:x>
      <cdr:y>0.49679</cdr:y>
    </cdr:to>
    <cdr:sp macro="" textlink="">
      <cdr:nvSpPr>
        <cdr:cNvPr id="30724" name="Text Box 1"/>
        <cdr:cNvSpPr txBox="1">
          <a:spLocks xmlns:a="http://schemas.openxmlformats.org/drawingml/2006/main" noChangeArrowheads="1"/>
        </cdr:cNvSpPr>
      </cdr:nvSpPr>
      <cdr:spPr bwMode="auto">
        <a:xfrm xmlns:a="http://schemas.openxmlformats.org/drawingml/2006/main">
          <a:off x="3892614" y="3373487"/>
          <a:ext cx="369662" cy="19285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Lr-65</a:t>
          </a:r>
        </a:p>
        <a:p xmlns:a="http://schemas.openxmlformats.org/drawingml/2006/main">
          <a:pPr algn="ctr" rtl="0">
            <a:defRPr sz="1000"/>
          </a:pPr>
          <a:endParaRPr lang="ja-JP" altLang="en-US"/>
        </a:p>
      </cdr:txBody>
    </cdr:sp>
  </cdr:relSizeAnchor>
  <cdr:relSizeAnchor xmlns:cdr="http://schemas.openxmlformats.org/drawingml/2006/chartDrawing">
    <cdr:from>
      <cdr:x>0.85248</cdr:x>
      <cdr:y>0.51332</cdr:y>
    </cdr:from>
    <cdr:to>
      <cdr:x>0.93351</cdr:x>
      <cdr:y>0.54095</cdr:y>
    </cdr:to>
    <cdr:sp macro="" textlink="">
      <cdr:nvSpPr>
        <cdr:cNvPr id="30725" name="Text Box 1"/>
        <cdr:cNvSpPr txBox="1">
          <a:spLocks xmlns:a="http://schemas.openxmlformats.org/drawingml/2006/main" noChangeArrowheads="1"/>
        </cdr:cNvSpPr>
      </cdr:nvSpPr>
      <cdr:spPr bwMode="auto">
        <a:xfrm xmlns:a="http://schemas.openxmlformats.org/drawingml/2006/main">
          <a:off x="3892614" y="3684878"/>
          <a:ext cx="369662" cy="19815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Lr-60</a:t>
          </a:r>
        </a:p>
        <a:p xmlns:a="http://schemas.openxmlformats.org/drawingml/2006/main">
          <a:pPr algn="ctr" rtl="0">
            <a:defRPr sz="1000"/>
          </a:pPr>
          <a:endParaRPr lang="ja-JP" altLang="en-US"/>
        </a:p>
      </cdr:txBody>
    </cdr:sp>
  </cdr:relSizeAnchor>
  <cdr:relSizeAnchor xmlns:cdr="http://schemas.openxmlformats.org/drawingml/2006/chartDrawing">
    <cdr:from>
      <cdr:x>0.85248</cdr:x>
      <cdr:y>0.55723</cdr:y>
    </cdr:from>
    <cdr:to>
      <cdr:x>0.93351</cdr:x>
      <cdr:y>0.58412</cdr:y>
    </cdr:to>
    <cdr:sp macro="" textlink="">
      <cdr:nvSpPr>
        <cdr:cNvPr id="30726" name="Text Box 1"/>
        <cdr:cNvSpPr txBox="1">
          <a:spLocks xmlns:a="http://schemas.openxmlformats.org/drawingml/2006/main" noChangeArrowheads="1"/>
        </cdr:cNvSpPr>
      </cdr:nvSpPr>
      <cdr:spPr bwMode="auto">
        <a:xfrm xmlns:a="http://schemas.openxmlformats.org/drawingml/2006/main">
          <a:off x="3892614" y="3999808"/>
          <a:ext cx="369662" cy="19285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Lr-55</a:t>
          </a:r>
        </a:p>
        <a:p xmlns:a="http://schemas.openxmlformats.org/drawingml/2006/main">
          <a:pPr algn="ctr" rtl="0">
            <a:defRPr sz="1000"/>
          </a:pPr>
          <a:endParaRPr lang="ja-JP" altLang="en-US"/>
        </a:p>
      </cdr:txBody>
    </cdr:sp>
  </cdr:relSizeAnchor>
  <cdr:relSizeAnchor xmlns:cdr="http://schemas.openxmlformats.org/drawingml/2006/chartDrawing">
    <cdr:from>
      <cdr:x>0.85248</cdr:x>
      <cdr:y>0.60065</cdr:y>
    </cdr:from>
    <cdr:to>
      <cdr:x>0.93351</cdr:x>
      <cdr:y>0.62729</cdr:y>
    </cdr:to>
    <cdr:sp macro="" textlink="">
      <cdr:nvSpPr>
        <cdr:cNvPr id="30727" name="Text Box 1"/>
        <cdr:cNvSpPr txBox="1">
          <a:spLocks xmlns:a="http://schemas.openxmlformats.org/drawingml/2006/main" noChangeArrowheads="1"/>
        </cdr:cNvSpPr>
      </cdr:nvSpPr>
      <cdr:spPr bwMode="auto">
        <a:xfrm xmlns:a="http://schemas.openxmlformats.org/drawingml/2006/main">
          <a:off x="3892614" y="4311199"/>
          <a:ext cx="369662" cy="19108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Lr-50</a:t>
          </a:r>
        </a:p>
        <a:p xmlns:a="http://schemas.openxmlformats.org/drawingml/2006/main">
          <a:pPr algn="ctr" rtl="0">
            <a:defRPr sz="1000"/>
          </a:pPr>
          <a:endParaRPr lang="ja-JP" altLang="en-US"/>
        </a:p>
      </cdr:txBody>
    </cdr:sp>
  </cdr:relSizeAnchor>
  <cdr:relSizeAnchor xmlns:cdr="http://schemas.openxmlformats.org/drawingml/2006/chartDrawing">
    <cdr:from>
      <cdr:x>0.85248</cdr:x>
      <cdr:y>0.64381</cdr:y>
    </cdr:from>
    <cdr:to>
      <cdr:x>0.93351</cdr:x>
      <cdr:y>0.6707</cdr:y>
    </cdr:to>
    <cdr:sp macro="" textlink="">
      <cdr:nvSpPr>
        <cdr:cNvPr id="30728" name="Text Box 1"/>
        <cdr:cNvSpPr txBox="1">
          <a:spLocks xmlns:a="http://schemas.openxmlformats.org/drawingml/2006/main" noChangeArrowheads="1"/>
        </cdr:cNvSpPr>
      </cdr:nvSpPr>
      <cdr:spPr bwMode="auto">
        <a:xfrm xmlns:a="http://schemas.openxmlformats.org/drawingml/2006/main">
          <a:off x="3892614" y="4620821"/>
          <a:ext cx="369662" cy="19285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Lr-45</a:t>
          </a:r>
        </a:p>
        <a:p xmlns:a="http://schemas.openxmlformats.org/drawingml/2006/main">
          <a:pPr algn="ctr" rtl="0">
            <a:defRPr sz="1000"/>
          </a:pPr>
          <a:endParaRPr lang="ja-JP" altLang="en-US"/>
        </a:p>
      </cdr:txBody>
    </cdr:sp>
  </cdr:relSizeAnchor>
  <cdr:relSizeAnchor xmlns:cdr="http://schemas.openxmlformats.org/drawingml/2006/chartDrawing">
    <cdr:from>
      <cdr:x>0.85248</cdr:x>
      <cdr:y>0.68698</cdr:y>
    </cdr:from>
    <cdr:to>
      <cdr:x>0.93351</cdr:x>
      <cdr:y>0.71387</cdr:y>
    </cdr:to>
    <cdr:sp macro="" textlink="">
      <cdr:nvSpPr>
        <cdr:cNvPr id="30729" name="Text Box 1"/>
        <cdr:cNvSpPr txBox="1">
          <a:spLocks xmlns:a="http://schemas.openxmlformats.org/drawingml/2006/main" noChangeArrowheads="1"/>
        </cdr:cNvSpPr>
      </cdr:nvSpPr>
      <cdr:spPr bwMode="auto">
        <a:xfrm xmlns:a="http://schemas.openxmlformats.org/drawingml/2006/main">
          <a:off x="3892614" y="4930443"/>
          <a:ext cx="369662" cy="19285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Lr-40</a:t>
          </a:r>
        </a:p>
        <a:p xmlns:a="http://schemas.openxmlformats.org/drawingml/2006/main">
          <a:pPr algn="ctr" rtl="0">
            <a:defRPr sz="1000"/>
          </a:pPr>
          <a:endParaRPr lang="ja-JP" altLang="en-US"/>
        </a:p>
      </cdr:txBody>
    </cdr:sp>
  </cdr:relSizeAnchor>
  <cdr:relSizeAnchor xmlns:cdr="http://schemas.openxmlformats.org/drawingml/2006/chartDrawing">
    <cdr:from>
      <cdr:x>0.85248</cdr:x>
      <cdr:y>0.73015</cdr:y>
    </cdr:from>
    <cdr:to>
      <cdr:x>0.93351</cdr:x>
      <cdr:y>0.75704</cdr:y>
    </cdr:to>
    <cdr:sp macro="" textlink="">
      <cdr:nvSpPr>
        <cdr:cNvPr id="30730" name="Text Box 1"/>
        <cdr:cNvSpPr txBox="1">
          <a:spLocks xmlns:a="http://schemas.openxmlformats.org/drawingml/2006/main" noChangeArrowheads="1"/>
        </cdr:cNvSpPr>
      </cdr:nvSpPr>
      <cdr:spPr bwMode="auto">
        <a:xfrm xmlns:a="http://schemas.openxmlformats.org/drawingml/2006/main">
          <a:off x="3892614" y="5240065"/>
          <a:ext cx="369662" cy="19285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Lr-35</a:t>
          </a:r>
        </a:p>
        <a:p xmlns:a="http://schemas.openxmlformats.org/drawingml/2006/main">
          <a:pPr algn="ctr" rtl="0">
            <a:defRPr sz="1000"/>
          </a:pPr>
          <a:endParaRPr lang="ja-JP" altLang="en-US"/>
        </a:p>
      </cdr:txBody>
    </cdr:sp>
  </cdr:relSizeAnchor>
  <cdr:relSizeAnchor xmlns:cdr="http://schemas.openxmlformats.org/drawingml/2006/chartDrawing">
    <cdr:from>
      <cdr:x>0.85248</cdr:x>
      <cdr:y>0.77357</cdr:y>
    </cdr:from>
    <cdr:to>
      <cdr:x>0.93351</cdr:x>
      <cdr:y>0.80021</cdr:y>
    </cdr:to>
    <cdr:sp macro="" textlink="">
      <cdr:nvSpPr>
        <cdr:cNvPr id="30731" name="Text Box 1"/>
        <cdr:cNvSpPr txBox="1">
          <a:spLocks xmlns:a="http://schemas.openxmlformats.org/drawingml/2006/main" noChangeArrowheads="1"/>
        </cdr:cNvSpPr>
      </cdr:nvSpPr>
      <cdr:spPr bwMode="auto">
        <a:xfrm xmlns:a="http://schemas.openxmlformats.org/drawingml/2006/main">
          <a:off x="3892614" y="5551457"/>
          <a:ext cx="369662" cy="19108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Lr-30</a:t>
          </a:r>
        </a:p>
        <a:p xmlns:a="http://schemas.openxmlformats.org/drawingml/2006/main">
          <a:pPr algn="ctr" rtl="0">
            <a:defRPr sz="1000"/>
          </a:pPr>
          <a:endParaRPr lang="ja-JP" altLang="en-US"/>
        </a:p>
      </cdr:txBody>
    </cdr:sp>
  </cdr:relSizeAnchor>
  <cdr:relSizeAnchor xmlns:cdr="http://schemas.openxmlformats.org/drawingml/2006/chartDrawing">
    <cdr:from>
      <cdr:x>0.85248</cdr:x>
      <cdr:y>0.38357</cdr:y>
    </cdr:from>
    <cdr:to>
      <cdr:x>0.93351</cdr:x>
      <cdr:y>0.41046</cdr:y>
    </cdr:to>
    <cdr:sp macro="" textlink="">
      <cdr:nvSpPr>
        <cdr:cNvPr id="30732" name="Text Box 1"/>
        <cdr:cNvSpPr txBox="1">
          <a:spLocks xmlns:a="http://schemas.openxmlformats.org/drawingml/2006/main" noChangeArrowheads="1"/>
        </cdr:cNvSpPr>
      </cdr:nvSpPr>
      <cdr:spPr bwMode="auto">
        <a:xfrm xmlns:a="http://schemas.openxmlformats.org/drawingml/2006/main">
          <a:off x="3892614" y="2754243"/>
          <a:ext cx="369662" cy="19285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Lr-75</a:t>
          </a:r>
        </a:p>
        <a:p xmlns:a="http://schemas.openxmlformats.org/drawingml/2006/main">
          <a:pPr algn="ctr" rtl="0">
            <a:defRPr sz="1000"/>
          </a:pPr>
          <a:endParaRPr lang="ja-JP" altLang="en-US"/>
        </a:p>
      </cdr:txBody>
    </cdr:sp>
  </cdr:relSizeAnchor>
  <cdr:relSizeAnchor xmlns:cdr="http://schemas.openxmlformats.org/drawingml/2006/chartDrawing">
    <cdr:from>
      <cdr:x>0.85248</cdr:x>
      <cdr:y>0.42674</cdr:y>
    </cdr:from>
    <cdr:to>
      <cdr:x>0.93351</cdr:x>
      <cdr:y>0.45436</cdr:y>
    </cdr:to>
    <cdr:sp macro="" textlink="">
      <cdr:nvSpPr>
        <cdr:cNvPr id="30733" name="Text Box 1"/>
        <cdr:cNvSpPr txBox="1">
          <a:spLocks xmlns:a="http://schemas.openxmlformats.org/drawingml/2006/main" noChangeArrowheads="1"/>
        </cdr:cNvSpPr>
      </cdr:nvSpPr>
      <cdr:spPr bwMode="auto">
        <a:xfrm xmlns:a="http://schemas.openxmlformats.org/drawingml/2006/main">
          <a:off x="3892614" y="3063865"/>
          <a:ext cx="369662" cy="19815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Arial"/>
              <a:cs typeface="Arial"/>
            </a:rPr>
            <a:t>Lr-70</a:t>
          </a:r>
        </a:p>
        <a:p xmlns:a="http://schemas.openxmlformats.org/drawingml/2006/main">
          <a:pPr algn="ctr" rtl="0">
            <a:defRPr sz="1000"/>
          </a:pPr>
          <a:endParaRPr lang="ja-JP" altLang="en-US"/>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19</xdr:col>
      <xdr:colOff>152400</xdr:colOff>
      <xdr:row>3</xdr:row>
      <xdr:rowOff>104775</xdr:rowOff>
    </xdr:from>
    <xdr:to>
      <xdr:col>31</xdr:col>
      <xdr:colOff>19050</xdr:colOff>
      <xdr:row>34</xdr:row>
      <xdr:rowOff>66675</xdr:rowOff>
    </xdr:to>
    <xdr:graphicFrame macro="">
      <xdr:nvGraphicFramePr>
        <xdr:cNvPr id="2" name="グラフ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13.xml"/><Relationship Id="rId1" Type="http://schemas.openxmlformats.org/officeDocument/2006/relationships/printerSettings" Target="../printerSettings/printerSettings9.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7"/>
    <pageSetUpPr fitToPage="1"/>
  </sheetPr>
  <dimension ref="A1:BD140"/>
  <sheetViews>
    <sheetView showGridLines="0" tabSelected="1" zoomScale="70" zoomScaleNormal="70" zoomScaleSheetLayoutView="100" workbookViewId="0">
      <selection activeCell="W23" sqref="W23"/>
    </sheetView>
  </sheetViews>
  <sheetFormatPr defaultColWidth="8.85546875" defaultRowHeight="12.75" x14ac:dyDescent="0.2"/>
  <cols>
    <col min="1" max="1" width="7.85546875" style="5" customWidth="1"/>
    <col min="2" max="19" width="6" style="5" customWidth="1"/>
    <col min="20" max="30" width="9.140625" style="5" customWidth="1"/>
    <col min="31" max="35" width="6" style="5" customWidth="1"/>
    <col min="36" max="77" width="5.85546875" style="5" customWidth="1"/>
    <col min="78" max="16384" width="8.85546875" style="5"/>
  </cols>
  <sheetData>
    <row r="1" spans="1:56" s="1" customFormat="1" ht="19.5" customHeight="1" x14ac:dyDescent="0.2">
      <c r="A1" s="776" t="s">
        <v>30</v>
      </c>
      <c r="B1" s="777"/>
      <c r="C1" s="777"/>
      <c r="D1" s="777"/>
      <c r="E1" s="777"/>
      <c r="F1" s="777"/>
      <c r="G1" s="777"/>
      <c r="H1" s="777"/>
      <c r="I1" s="777"/>
      <c r="J1" s="777"/>
      <c r="K1" s="777"/>
      <c r="L1" s="777"/>
      <c r="M1" s="777"/>
      <c r="N1" s="777"/>
      <c r="O1" s="777"/>
      <c r="P1" s="777"/>
      <c r="Q1" s="777"/>
      <c r="R1" s="778"/>
      <c r="S1" s="658"/>
      <c r="T1" s="659"/>
      <c r="U1" s="659"/>
      <c r="V1" s="659"/>
      <c r="W1" s="659"/>
      <c r="X1" s="659"/>
      <c r="Y1" s="659"/>
      <c r="Z1" s="659"/>
      <c r="AA1" s="659"/>
      <c r="AB1" s="859">
        <f ca="1">TODAY()</f>
        <v>44951</v>
      </c>
      <c r="AC1" s="859"/>
      <c r="AD1" s="860"/>
      <c r="AE1" s="1339"/>
      <c r="AF1" s="572"/>
      <c r="AG1" s="572"/>
      <c r="AH1" s="572"/>
      <c r="AI1" s="571"/>
      <c r="AJ1" s="572"/>
    </row>
    <row r="2" spans="1:56" s="3" customFormat="1" ht="14.25" customHeight="1" x14ac:dyDescent="0.15">
      <c r="A2" s="865" t="s">
        <v>428</v>
      </c>
      <c r="B2" s="866"/>
      <c r="C2" s="866"/>
      <c r="D2" s="866"/>
      <c r="E2" s="861"/>
      <c r="F2" s="861"/>
      <c r="G2" s="861"/>
      <c r="H2" s="861"/>
      <c r="I2" s="861"/>
      <c r="J2" s="861"/>
      <c r="K2" s="861"/>
      <c r="L2" s="861"/>
      <c r="M2" s="861"/>
      <c r="N2" s="861"/>
      <c r="O2" s="861"/>
      <c r="P2" s="861"/>
      <c r="Q2" s="861"/>
      <c r="R2" s="862"/>
      <c r="S2" s="638"/>
      <c r="T2" s="639"/>
      <c r="U2" s="639"/>
      <c r="V2" s="639"/>
      <c r="W2" s="639"/>
      <c r="X2" s="639"/>
      <c r="Y2" s="639"/>
      <c r="Z2" s="639"/>
      <c r="AA2" s="639"/>
      <c r="AB2" s="639"/>
      <c r="AC2" s="639"/>
      <c r="AD2" s="640"/>
      <c r="AE2" s="335"/>
      <c r="AF2" s="335"/>
      <c r="AG2" s="335"/>
      <c r="AH2" s="335"/>
      <c r="AI2" s="376"/>
      <c r="AJ2" s="414"/>
    </row>
    <row r="3" spans="1:56" s="3" customFormat="1" ht="14.25" customHeight="1" x14ac:dyDescent="0.15">
      <c r="A3" s="865" t="s">
        <v>31</v>
      </c>
      <c r="B3" s="866"/>
      <c r="C3" s="866"/>
      <c r="D3" s="866"/>
      <c r="E3" s="861"/>
      <c r="F3" s="861"/>
      <c r="G3" s="861"/>
      <c r="H3" s="861"/>
      <c r="I3" s="861"/>
      <c r="J3" s="861"/>
      <c r="K3" s="861"/>
      <c r="L3" s="861"/>
      <c r="M3" s="861"/>
      <c r="N3" s="861"/>
      <c r="O3" s="861"/>
      <c r="P3" s="861"/>
      <c r="Q3" s="861"/>
      <c r="R3" s="862"/>
      <c r="S3" s="641"/>
      <c r="T3" s="639"/>
      <c r="U3" s="639"/>
      <c r="V3" s="639"/>
      <c r="W3" s="639"/>
      <c r="X3" s="639"/>
      <c r="Y3" s="639"/>
      <c r="Z3" s="639"/>
      <c r="AA3" s="639"/>
      <c r="AB3" s="639"/>
      <c r="AC3" s="639"/>
      <c r="AD3" s="640"/>
      <c r="AE3" s="335"/>
      <c r="AF3" s="335"/>
      <c r="AG3" s="335"/>
      <c r="AH3" s="335"/>
      <c r="AI3" s="376"/>
      <c r="AJ3" s="414"/>
    </row>
    <row r="4" spans="1:56" s="3" customFormat="1" ht="14.25" customHeight="1" thickBot="1" x14ac:dyDescent="0.2">
      <c r="A4" s="867" t="s">
        <v>32</v>
      </c>
      <c r="B4" s="868"/>
      <c r="C4" s="868"/>
      <c r="D4" s="868"/>
      <c r="E4" s="863"/>
      <c r="F4" s="863"/>
      <c r="G4" s="863"/>
      <c r="H4" s="863"/>
      <c r="I4" s="863"/>
      <c r="J4" s="863"/>
      <c r="K4" s="863"/>
      <c r="L4" s="863"/>
      <c r="M4" s="863"/>
      <c r="N4" s="863"/>
      <c r="O4" s="863"/>
      <c r="P4" s="863"/>
      <c r="Q4" s="863"/>
      <c r="R4" s="864"/>
      <c r="S4" s="641"/>
      <c r="T4" s="639"/>
      <c r="U4" s="639"/>
      <c r="V4" s="639"/>
      <c r="W4" s="639"/>
      <c r="X4" s="639"/>
      <c r="Y4" s="639"/>
      <c r="Z4" s="639"/>
      <c r="AA4" s="639"/>
      <c r="AB4" s="639"/>
      <c r="AC4" s="639"/>
      <c r="AD4" s="640"/>
      <c r="AE4" s="421"/>
      <c r="AF4" s="335"/>
      <c r="AG4" s="335"/>
      <c r="AH4" s="335"/>
      <c r="AI4" s="376"/>
      <c r="AJ4" s="414"/>
      <c r="AK4" s="218"/>
      <c r="AL4" s="218"/>
      <c r="AM4" s="218"/>
      <c r="AN4" s="218"/>
      <c r="AO4" s="218"/>
      <c r="AP4" s="218"/>
      <c r="AQ4" s="218"/>
      <c r="AR4" s="218"/>
      <c r="AS4" s="218"/>
      <c r="AT4" s="218"/>
      <c r="AU4" s="218"/>
      <c r="AV4" s="218"/>
      <c r="AW4" s="218"/>
      <c r="AX4" s="218"/>
      <c r="AY4" s="218"/>
      <c r="AZ4" s="218"/>
      <c r="BA4" s="218"/>
      <c r="BB4" s="218"/>
      <c r="BC4" s="218"/>
      <c r="BD4" s="218"/>
    </row>
    <row r="5" spans="1:56" s="3" customFormat="1" ht="14.25" customHeight="1" x14ac:dyDescent="0.2">
      <c r="A5" s="869" t="s">
        <v>662</v>
      </c>
      <c r="B5" s="870"/>
      <c r="C5" s="870"/>
      <c r="D5" s="870"/>
      <c r="E5" s="870"/>
      <c r="F5" s="870"/>
      <c r="G5" s="870"/>
      <c r="H5" s="870"/>
      <c r="I5" s="870"/>
      <c r="J5" s="870"/>
      <c r="K5" s="870"/>
      <c r="L5" s="870"/>
      <c r="M5" s="870"/>
      <c r="N5" s="870"/>
      <c r="O5" s="870"/>
      <c r="P5" s="870"/>
      <c r="Q5" s="870"/>
      <c r="R5" s="871"/>
      <c r="S5" s="641"/>
      <c r="T5" s="639"/>
      <c r="U5" s="639"/>
      <c r="V5" s="639"/>
      <c r="W5" s="639"/>
      <c r="X5" s="639"/>
      <c r="Y5" s="639"/>
      <c r="Z5" s="639"/>
      <c r="AA5" s="639"/>
      <c r="AB5" s="639"/>
      <c r="AC5" s="639"/>
      <c r="AD5" s="640"/>
      <c r="AE5" s="421"/>
      <c r="AF5" s="335"/>
      <c r="AG5" s="335"/>
      <c r="AH5" s="335"/>
      <c r="AI5" s="376"/>
      <c r="AJ5" s="414"/>
      <c r="AK5" s="218"/>
      <c r="AL5" s="218"/>
      <c r="AM5" s="218"/>
      <c r="AN5" s="218"/>
      <c r="AO5" s="218"/>
      <c r="AP5" s="218"/>
      <c r="AQ5" s="218"/>
      <c r="AR5" s="218"/>
      <c r="AS5" s="218"/>
      <c r="AT5" s="218"/>
      <c r="AU5" s="218"/>
      <c r="AV5" s="218"/>
      <c r="AW5" s="218"/>
      <c r="AX5" s="218"/>
      <c r="AY5" s="218"/>
      <c r="AZ5" s="218"/>
      <c r="BA5" s="218"/>
      <c r="BB5" s="218"/>
      <c r="BC5" s="218"/>
      <c r="BD5" s="218"/>
    </row>
    <row r="6" spans="1:56" s="3" customFormat="1" ht="14.25" customHeight="1" x14ac:dyDescent="0.2">
      <c r="A6" s="872"/>
      <c r="B6" s="873"/>
      <c r="C6" s="873"/>
      <c r="D6" s="873"/>
      <c r="E6" s="873"/>
      <c r="F6" s="873"/>
      <c r="G6" s="873"/>
      <c r="H6" s="873"/>
      <c r="I6" s="873"/>
      <c r="J6" s="873"/>
      <c r="K6" s="873"/>
      <c r="L6" s="873"/>
      <c r="M6" s="873"/>
      <c r="N6" s="873"/>
      <c r="O6" s="873"/>
      <c r="P6" s="873"/>
      <c r="Q6" s="873"/>
      <c r="R6" s="874"/>
      <c r="S6" s="641"/>
      <c r="T6" s="639"/>
      <c r="U6" s="639"/>
      <c r="V6" s="639"/>
      <c r="W6" s="639"/>
      <c r="X6" s="639"/>
      <c r="Y6" s="639"/>
      <c r="Z6" s="639"/>
      <c r="AA6" s="639"/>
      <c r="AB6" s="639"/>
      <c r="AC6" s="639"/>
      <c r="AD6" s="640"/>
      <c r="AE6" s="421"/>
      <c r="AF6" s="335"/>
      <c r="AG6" s="335"/>
      <c r="AH6" s="335"/>
      <c r="AI6" s="376"/>
      <c r="AJ6" s="414"/>
      <c r="AK6" s="218"/>
      <c r="AL6" s="218"/>
      <c r="AM6" s="218"/>
      <c r="AN6" s="218"/>
      <c r="AO6" s="218"/>
      <c r="AP6" s="218"/>
      <c r="AQ6" s="218"/>
      <c r="AR6" s="218"/>
      <c r="AS6" s="218"/>
      <c r="AT6" s="218"/>
      <c r="AU6" s="218"/>
      <c r="AV6" s="218"/>
      <c r="AW6" s="218"/>
      <c r="AX6" s="218"/>
      <c r="AY6" s="218"/>
      <c r="AZ6" s="218"/>
      <c r="BA6" s="218"/>
      <c r="BB6" s="218"/>
      <c r="BC6" s="218"/>
      <c r="BD6" s="218"/>
    </row>
    <row r="7" spans="1:56" s="3" customFormat="1" ht="14.25" customHeight="1" x14ac:dyDescent="0.2">
      <c r="A7" s="872"/>
      <c r="B7" s="873"/>
      <c r="C7" s="873"/>
      <c r="D7" s="873"/>
      <c r="E7" s="873"/>
      <c r="F7" s="873"/>
      <c r="G7" s="873"/>
      <c r="H7" s="873"/>
      <c r="I7" s="873"/>
      <c r="J7" s="873"/>
      <c r="K7" s="873"/>
      <c r="L7" s="873"/>
      <c r="M7" s="873"/>
      <c r="N7" s="873"/>
      <c r="O7" s="873"/>
      <c r="P7" s="873"/>
      <c r="Q7" s="873"/>
      <c r="R7" s="874"/>
      <c r="S7" s="641"/>
      <c r="T7" s="639"/>
      <c r="U7" s="639"/>
      <c r="V7" s="639"/>
      <c r="W7" s="639"/>
      <c r="X7" s="639"/>
      <c r="Y7" s="639"/>
      <c r="Z7" s="639"/>
      <c r="AA7" s="639"/>
      <c r="AB7" s="639"/>
      <c r="AC7" s="639"/>
      <c r="AD7" s="640"/>
      <c r="AE7" s="421"/>
      <c r="AF7" s="335"/>
      <c r="AG7" s="335"/>
      <c r="AH7" s="335"/>
      <c r="AI7" s="376"/>
      <c r="AJ7" s="414"/>
      <c r="AK7" s="218"/>
      <c r="AL7" s="218"/>
      <c r="AM7" s="218"/>
      <c r="AN7" s="218"/>
      <c r="AO7" s="218"/>
      <c r="AP7" s="218"/>
      <c r="AQ7" s="218"/>
      <c r="AR7" s="218"/>
      <c r="AS7" s="218"/>
      <c r="AT7" s="218"/>
      <c r="AU7" s="218"/>
      <c r="AV7" s="218"/>
      <c r="AW7" s="218"/>
      <c r="AX7" s="218"/>
      <c r="AY7" s="218"/>
      <c r="AZ7" s="218"/>
      <c r="BA7" s="218"/>
      <c r="BB7" s="218"/>
      <c r="BC7" s="218"/>
      <c r="BD7" s="218"/>
    </row>
    <row r="8" spans="1:56" s="3" customFormat="1" ht="14.25" customHeight="1" x14ac:dyDescent="0.2">
      <c r="A8" s="872"/>
      <c r="B8" s="873"/>
      <c r="C8" s="873"/>
      <c r="D8" s="873"/>
      <c r="E8" s="873"/>
      <c r="F8" s="873"/>
      <c r="G8" s="873"/>
      <c r="H8" s="873"/>
      <c r="I8" s="873"/>
      <c r="J8" s="873"/>
      <c r="K8" s="873"/>
      <c r="L8" s="873"/>
      <c r="M8" s="873"/>
      <c r="N8" s="873"/>
      <c r="O8" s="873"/>
      <c r="P8" s="873"/>
      <c r="Q8" s="873"/>
      <c r="R8" s="874"/>
      <c r="S8" s="641"/>
      <c r="T8" s="639"/>
      <c r="U8" s="639"/>
      <c r="V8" s="639"/>
      <c r="W8" s="639"/>
      <c r="X8" s="639"/>
      <c r="Y8" s="639"/>
      <c r="Z8" s="639"/>
      <c r="AA8" s="639"/>
      <c r="AB8" s="639"/>
      <c r="AC8" s="639"/>
      <c r="AD8" s="640"/>
      <c r="AE8" s="421"/>
      <c r="AF8" s="335"/>
      <c r="AG8" s="335"/>
      <c r="AH8" s="335"/>
      <c r="AI8" s="376"/>
      <c r="AJ8" s="414"/>
      <c r="AK8" s="218"/>
      <c r="AL8" s="218"/>
      <c r="AM8" s="218"/>
      <c r="AN8" s="218"/>
      <c r="AO8" s="218"/>
      <c r="AP8" s="218"/>
      <c r="AQ8" s="218"/>
      <c r="AR8" s="218"/>
      <c r="AS8" s="218"/>
      <c r="AT8" s="218"/>
      <c r="AU8" s="218"/>
      <c r="AV8" s="218"/>
      <c r="AW8" s="218"/>
      <c r="AX8" s="218"/>
      <c r="AY8" s="218"/>
      <c r="AZ8" s="218"/>
      <c r="BA8" s="218"/>
      <c r="BB8" s="218"/>
      <c r="BC8" s="218"/>
      <c r="BD8" s="218"/>
    </row>
    <row r="9" spans="1:56" s="3" customFormat="1" ht="19.5" customHeight="1" x14ac:dyDescent="0.2">
      <c r="A9" s="872"/>
      <c r="B9" s="873"/>
      <c r="C9" s="873"/>
      <c r="D9" s="873"/>
      <c r="E9" s="873"/>
      <c r="F9" s="873"/>
      <c r="G9" s="873"/>
      <c r="H9" s="873"/>
      <c r="I9" s="873"/>
      <c r="J9" s="873"/>
      <c r="K9" s="873"/>
      <c r="L9" s="873"/>
      <c r="M9" s="873"/>
      <c r="N9" s="873"/>
      <c r="O9" s="873"/>
      <c r="P9" s="873"/>
      <c r="Q9" s="873"/>
      <c r="R9" s="874"/>
      <c r="S9" s="641"/>
      <c r="T9" s="639"/>
      <c r="U9" s="639"/>
      <c r="V9" s="639"/>
      <c r="W9" s="639"/>
      <c r="X9" s="639"/>
      <c r="Y9" s="639"/>
      <c r="Z9" s="639"/>
      <c r="AA9" s="639"/>
      <c r="AB9" s="639"/>
      <c r="AC9" s="639"/>
      <c r="AD9" s="640"/>
      <c r="AE9" s="421"/>
      <c r="AF9" s="335"/>
      <c r="AH9" s="335"/>
      <c r="AI9" s="376"/>
      <c r="AJ9" s="414"/>
      <c r="AK9" s="218"/>
      <c r="AL9" s="218"/>
      <c r="AM9" s="218"/>
      <c r="AN9" s="218"/>
      <c r="AO9" s="218"/>
      <c r="AP9" s="218"/>
      <c r="AQ9" s="218"/>
      <c r="AR9" s="218"/>
      <c r="AS9" s="218"/>
      <c r="AT9" s="218"/>
      <c r="AU9" s="218"/>
      <c r="AV9" s="218"/>
      <c r="AW9" s="218"/>
      <c r="AX9" s="218"/>
      <c r="AY9" s="218"/>
      <c r="AZ9" s="218"/>
      <c r="BA9" s="218"/>
      <c r="BB9" s="218"/>
      <c r="BC9" s="218"/>
      <c r="BD9" s="218"/>
    </row>
    <row r="10" spans="1:56" s="3" customFormat="1" ht="14.25" customHeight="1" x14ac:dyDescent="0.2">
      <c r="A10" s="872"/>
      <c r="B10" s="873"/>
      <c r="C10" s="873"/>
      <c r="D10" s="873"/>
      <c r="E10" s="873"/>
      <c r="F10" s="873"/>
      <c r="G10" s="873"/>
      <c r="H10" s="873"/>
      <c r="I10" s="873"/>
      <c r="J10" s="873"/>
      <c r="K10" s="873"/>
      <c r="L10" s="873"/>
      <c r="M10" s="873"/>
      <c r="N10" s="873"/>
      <c r="O10" s="873"/>
      <c r="P10" s="873"/>
      <c r="Q10" s="873"/>
      <c r="R10" s="874"/>
      <c r="S10" s="641"/>
      <c r="T10" s="639"/>
      <c r="U10" s="639"/>
      <c r="V10" s="639"/>
      <c r="W10" s="639"/>
      <c r="X10" s="639"/>
      <c r="Y10" s="639"/>
      <c r="Z10" s="639"/>
      <c r="AA10" s="639"/>
      <c r="AB10" s="639"/>
      <c r="AC10" s="639"/>
      <c r="AD10" s="640"/>
      <c r="AE10" s="421"/>
      <c r="AF10" s="335"/>
      <c r="AH10" s="335"/>
      <c r="AI10" s="376"/>
      <c r="AJ10" s="414"/>
      <c r="AK10" s="443"/>
      <c r="AL10" s="443"/>
      <c r="AM10" s="443"/>
      <c r="AN10" s="443"/>
      <c r="AO10" s="443"/>
      <c r="AP10" s="443"/>
      <c r="AQ10" s="443"/>
      <c r="AR10" s="443"/>
      <c r="AS10" s="443"/>
      <c r="AT10" s="443"/>
      <c r="AU10" s="443"/>
      <c r="AV10" s="443"/>
      <c r="AW10" s="443"/>
      <c r="AX10" s="443"/>
      <c r="AY10" s="443"/>
      <c r="AZ10" s="443"/>
      <c r="BA10" s="443"/>
      <c r="BB10" s="218"/>
      <c r="BC10" s="218"/>
      <c r="BD10" s="218"/>
    </row>
    <row r="11" spans="1:56" s="3" customFormat="1" ht="14.25" customHeight="1" thickBot="1" x14ac:dyDescent="0.25">
      <c r="A11" s="875"/>
      <c r="B11" s="876"/>
      <c r="C11" s="876"/>
      <c r="D11" s="876"/>
      <c r="E11" s="876"/>
      <c r="F11" s="876"/>
      <c r="G11" s="876"/>
      <c r="H11" s="876"/>
      <c r="I11" s="876"/>
      <c r="J11" s="876"/>
      <c r="K11" s="876"/>
      <c r="L11" s="876"/>
      <c r="M11" s="876"/>
      <c r="N11" s="876"/>
      <c r="O11" s="876"/>
      <c r="P11" s="876"/>
      <c r="Q11" s="876"/>
      <c r="R11" s="877"/>
      <c r="S11" s="641"/>
      <c r="T11" s="639"/>
      <c r="U11" s="639"/>
      <c r="V11" s="639"/>
      <c r="W11" s="639"/>
      <c r="X11" s="639"/>
      <c r="Y11" s="639"/>
      <c r="Z11" s="639"/>
      <c r="AA11" s="639"/>
      <c r="AB11" s="639"/>
      <c r="AC11" s="639"/>
      <c r="AD11" s="640"/>
      <c r="AE11" s="421"/>
      <c r="AF11" s="335"/>
      <c r="AH11" s="335"/>
      <c r="AI11" s="376"/>
      <c r="AJ11" s="414"/>
      <c r="AK11" s="444"/>
      <c r="AL11" s="445"/>
      <c r="AM11" s="446"/>
      <c r="AN11" s="447"/>
      <c r="AO11" s="447"/>
      <c r="AP11" s="447"/>
      <c r="AQ11" s="448"/>
      <c r="AR11" s="447"/>
      <c r="AS11" s="447"/>
      <c r="AT11" s="449"/>
      <c r="AU11" s="447"/>
      <c r="AV11" s="447"/>
      <c r="AW11" s="450"/>
      <c r="AX11" s="450"/>
      <c r="AY11" s="450"/>
      <c r="AZ11" s="450"/>
      <c r="BA11" s="450"/>
      <c r="BB11" s="218"/>
      <c r="BC11" s="218"/>
      <c r="BD11" s="218"/>
    </row>
    <row r="12" spans="1:56" s="2" customFormat="1" ht="14.25" customHeight="1" thickBot="1" x14ac:dyDescent="0.2">
      <c r="A12" s="773" t="s">
        <v>33</v>
      </c>
      <c r="B12" s="774"/>
      <c r="C12" s="774"/>
      <c r="D12" s="774"/>
      <c r="E12" s="774"/>
      <c r="F12" s="774"/>
      <c r="G12" s="774"/>
      <c r="H12" s="774"/>
      <c r="I12" s="774"/>
      <c r="J12" s="774"/>
      <c r="K12" s="774"/>
      <c r="L12" s="774"/>
      <c r="M12" s="774"/>
      <c r="N12" s="774"/>
      <c r="O12" s="774"/>
      <c r="P12" s="774"/>
      <c r="Q12" s="774"/>
      <c r="R12" s="775"/>
      <c r="S12" s="641"/>
      <c r="T12" s="642"/>
      <c r="U12" s="642"/>
      <c r="V12" s="642"/>
      <c r="W12" s="642"/>
      <c r="X12" s="642"/>
      <c r="Y12" s="642"/>
      <c r="Z12" s="642"/>
      <c r="AA12" s="642"/>
      <c r="AB12" s="642"/>
      <c r="AC12" s="642"/>
      <c r="AD12" s="643"/>
      <c r="AE12" s="421"/>
      <c r="AF12" s="335"/>
      <c r="AH12" s="335"/>
      <c r="AI12" s="376"/>
      <c r="AJ12" s="442"/>
      <c r="AK12" s="445"/>
      <c r="AL12" s="445"/>
      <c r="AM12" s="451"/>
      <c r="BA12" s="452"/>
      <c r="BB12" s="453"/>
      <c r="BC12" s="453"/>
      <c r="BD12" s="453"/>
    </row>
    <row r="13" spans="1:56" s="3" customFormat="1" ht="14.25" customHeight="1" x14ac:dyDescent="0.2">
      <c r="A13" s="878" t="s">
        <v>48</v>
      </c>
      <c r="B13" s="879"/>
      <c r="C13" s="879"/>
      <c r="D13" s="879"/>
      <c r="E13" s="879"/>
      <c r="F13" s="879"/>
      <c r="G13" s="375" t="s">
        <v>38</v>
      </c>
      <c r="H13" s="882">
        <v>6</v>
      </c>
      <c r="I13" s="882"/>
      <c r="J13" s="882"/>
      <c r="K13" s="882"/>
      <c r="L13" s="882"/>
      <c r="M13" s="882"/>
      <c r="N13" s="882"/>
      <c r="O13" s="882"/>
      <c r="P13" s="882"/>
      <c r="Q13" s="882"/>
      <c r="R13" s="883"/>
      <c r="S13" s="641"/>
      <c r="T13" s="639"/>
      <c r="U13" s="639"/>
      <c r="V13" s="639"/>
      <c r="W13" s="639"/>
      <c r="X13" s="639"/>
      <c r="Y13" s="639"/>
      <c r="Z13" s="639"/>
      <c r="AA13" s="639"/>
      <c r="AB13" s="639"/>
      <c r="AC13" s="639"/>
      <c r="AD13" s="640"/>
      <c r="AI13" s="376"/>
      <c r="AJ13" s="414"/>
      <c r="AK13" s="445"/>
      <c r="BA13" s="452"/>
      <c r="BB13" s="218"/>
      <c r="BC13" s="218"/>
      <c r="BD13" s="218"/>
    </row>
    <row r="14" spans="1:56" s="3" customFormat="1" ht="14.25" customHeight="1" x14ac:dyDescent="0.2">
      <c r="A14" s="880" t="s">
        <v>49</v>
      </c>
      <c r="B14" s="881"/>
      <c r="C14" s="881"/>
      <c r="D14" s="881"/>
      <c r="E14" s="881"/>
      <c r="F14" s="881"/>
      <c r="G14" s="717" t="s">
        <v>660</v>
      </c>
      <c r="H14" s="702"/>
      <c r="I14" s="702"/>
      <c r="J14" s="702"/>
      <c r="K14" s="703"/>
      <c r="L14" s="703"/>
      <c r="M14" s="702"/>
      <c r="N14" s="702"/>
      <c r="O14" s="704"/>
      <c r="P14" s="704"/>
      <c r="Q14" s="703"/>
      <c r="R14" s="705"/>
      <c r="S14" s="641"/>
      <c r="T14" s="639"/>
      <c r="U14" s="639"/>
      <c r="V14" s="639"/>
      <c r="W14" s="639"/>
      <c r="X14" s="639"/>
      <c r="Y14" s="639"/>
      <c r="Z14" s="639"/>
      <c r="AA14" s="639"/>
      <c r="AB14" s="639"/>
      <c r="AC14" s="639"/>
      <c r="AD14" s="645"/>
      <c r="AE14" s="452"/>
      <c r="AF14" s="452"/>
      <c r="AH14" s="335"/>
      <c r="AI14" s="376"/>
      <c r="AJ14" s="414"/>
      <c r="AK14" s="444"/>
      <c r="BA14" s="452"/>
      <c r="BB14" s="218"/>
      <c r="BC14" s="218"/>
      <c r="BD14" s="218"/>
    </row>
    <row r="15" spans="1:56" s="3" customFormat="1" ht="14.25" customHeight="1" x14ac:dyDescent="0.2">
      <c r="A15" s="888" t="str">
        <f>IF(Calculation!Q13&lt;&gt;"","h","")</f>
        <v>h</v>
      </c>
      <c r="B15" s="889"/>
      <c r="C15" s="890">
        <v>140</v>
      </c>
      <c r="D15" s="891"/>
      <c r="E15" s="884" t="str">
        <f>IF(Calculation!Q13&lt;&gt;"","mm","")</f>
        <v>mm</v>
      </c>
      <c r="F15" s="885"/>
      <c r="G15" s="698" t="s">
        <v>532</v>
      </c>
      <c r="H15" s="699"/>
      <c r="I15" s="699"/>
      <c r="J15" s="699"/>
      <c r="K15" s="699"/>
      <c r="L15" s="699"/>
      <c r="M15" s="699" t="s">
        <v>628</v>
      </c>
      <c r="N15" s="699"/>
      <c r="O15" s="699"/>
      <c r="P15" s="699"/>
      <c r="Q15" s="699"/>
      <c r="R15" s="700"/>
      <c r="S15" s="641"/>
      <c r="T15" s="639"/>
      <c r="U15" s="639"/>
      <c r="V15" s="639"/>
      <c r="W15" s="639"/>
      <c r="X15" s="639"/>
      <c r="Y15" s="639"/>
      <c r="Z15" s="639"/>
      <c r="AA15" s="639"/>
      <c r="AB15" s="639"/>
      <c r="AC15" s="639"/>
      <c r="AD15" s="646"/>
      <c r="AE15" s="452"/>
      <c r="AF15" s="452"/>
      <c r="AG15" s="335"/>
      <c r="AH15" s="335"/>
      <c r="AI15" s="376"/>
      <c r="AJ15" s="414"/>
      <c r="AK15" s="456"/>
      <c r="BA15" s="456"/>
      <c r="BB15" s="218"/>
      <c r="BC15" s="218"/>
      <c r="BD15" s="218"/>
    </row>
    <row r="16" spans="1:56" s="3" customFormat="1" ht="14.25" customHeight="1" x14ac:dyDescent="0.15">
      <c r="A16" s="824" t="str">
        <f>IF(Calculation!Q13&lt;&gt;"",IF(Calculation!Q13&lt;&gt;1,IF(Calculation!Q13&lt;&gt;5,"hh","hB"),""),"")</f>
        <v>hh</v>
      </c>
      <c r="B16" s="825"/>
      <c r="C16" s="828"/>
      <c r="D16" s="829"/>
      <c r="E16" s="886" t="str">
        <f>IF(Calculation!Q13&lt;&gt;"",IF(Calculation!Q13&lt;&gt;1,IF(Calculation!Q13&lt;&gt;5,"mm","mm"),""),"")</f>
        <v>mm</v>
      </c>
      <c r="F16" s="887"/>
      <c r="G16" s="710" t="s">
        <v>658</v>
      </c>
      <c r="H16" s="711"/>
      <c r="I16" s="712"/>
      <c r="J16" s="712"/>
      <c r="K16" s="713"/>
      <c r="L16" s="713"/>
      <c r="M16" s="712" t="s">
        <v>659</v>
      </c>
      <c r="N16" s="711"/>
      <c r="O16" s="714"/>
      <c r="P16" s="714"/>
      <c r="Q16" s="713"/>
      <c r="R16" s="715"/>
      <c r="S16" s="641"/>
      <c r="T16" s="639"/>
      <c r="U16" s="639"/>
      <c r="V16" s="639"/>
      <c r="W16" s="639"/>
      <c r="X16" s="639"/>
      <c r="Y16" s="639"/>
      <c r="Z16" s="639"/>
      <c r="AA16" s="639"/>
      <c r="AB16" s="639"/>
      <c r="AC16" s="639"/>
      <c r="AD16" s="646"/>
      <c r="AE16" s="452"/>
      <c r="AF16" s="452"/>
      <c r="AG16" s="335"/>
      <c r="AH16" s="335"/>
      <c r="AI16" s="376"/>
      <c r="AJ16" s="218"/>
      <c r="AK16" s="218"/>
      <c r="BA16" s="218"/>
      <c r="BB16" s="218"/>
      <c r="BC16" s="218"/>
      <c r="BD16" s="218"/>
    </row>
    <row r="17" spans="1:56" s="3" customFormat="1" ht="14.25" customHeight="1" x14ac:dyDescent="0.2">
      <c r="A17" s="824" t="str">
        <f>IF(Calculation!Q13=2,"hB",IF(Calculation!Q13=3,"hB",IF(Calculation!Q13=5,"B",IF(Calculation!Q13=6,"hC",IF(Calculation!Q13=7,"hC","")))))</f>
        <v>hC</v>
      </c>
      <c r="B17" s="825"/>
      <c r="C17" s="828"/>
      <c r="D17" s="829"/>
      <c r="E17" s="848" t="str">
        <f>IF(Calculation!Q13=2,"mm",IF(Calculation!Q13=3,"mm",IF(Calculation!Q13=5,"mm",IF(Calculation!Q13=6,"mm",IF(Calculation!Q13=7,"mm","")))))</f>
        <v>mm</v>
      </c>
      <c r="F17" s="849"/>
      <c r="G17" s="698" t="s">
        <v>629</v>
      </c>
      <c r="H17" s="699"/>
      <c r="I17" s="699"/>
      <c r="J17" s="699"/>
      <c r="K17" s="699"/>
      <c r="L17" s="699"/>
      <c r="M17" s="699" t="s">
        <v>533</v>
      </c>
      <c r="N17" s="699"/>
      <c r="O17" s="699"/>
      <c r="P17" s="699"/>
      <c r="Q17" s="699"/>
      <c r="R17" s="700"/>
      <c r="S17" s="641"/>
      <c r="T17" s="639"/>
      <c r="U17" s="639"/>
      <c r="V17" s="639"/>
      <c r="W17" s="639"/>
      <c r="X17" s="639"/>
      <c r="Y17" s="639"/>
      <c r="Z17" s="639"/>
      <c r="AA17" s="639"/>
      <c r="AB17" s="639"/>
      <c r="AC17" s="639"/>
      <c r="AD17" s="646"/>
      <c r="AE17" s="452"/>
      <c r="AF17" s="452"/>
      <c r="AG17" s="376"/>
      <c r="AH17" s="376"/>
      <c r="AI17" s="376"/>
      <c r="AJ17" s="218"/>
      <c r="AK17" s="218"/>
      <c r="BA17" s="218"/>
      <c r="BB17" s="218"/>
      <c r="BC17" s="218"/>
      <c r="BD17" s="218"/>
    </row>
    <row r="18" spans="1:56" s="3" customFormat="1" ht="14.25" customHeight="1" x14ac:dyDescent="0.2">
      <c r="A18" s="824" t="str">
        <f>IF(Calculation!Q13=2,"B",IF(Calculation!Q13=3,"B",IF(Calculation!Q13=5,"BB",IF(Calculation!Q13=6,"B",IF(Calculation!Q13=7,"B","")))))</f>
        <v>B</v>
      </c>
      <c r="B18" s="825"/>
      <c r="C18" s="828"/>
      <c r="D18" s="829"/>
      <c r="E18" s="848" t="str">
        <f>IF(Calculation!Q13=2,"mm",IF(Calculation!Q13=3,"mm",IF(Calculation!Q13=5,"mm",IF(Calculation!Q13=6,"mm",IF(Calculation!Q13=7,"mm","")))))</f>
        <v>mm</v>
      </c>
      <c r="F18" s="849"/>
      <c r="G18" s="716" t="s">
        <v>534</v>
      </c>
      <c r="H18" s="706"/>
      <c r="I18" s="706"/>
      <c r="J18" s="706"/>
      <c r="K18" s="707"/>
      <c r="L18" s="707"/>
      <c r="M18" s="701"/>
      <c r="N18" s="708"/>
      <c r="O18" s="708"/>
      <c r="P18" s="708"/>
      <c r="Q18" s="707"/>
      <c r="R18" s="709"/>
      <c r="S18" s="641"/>
      <c r="T18" s="639"/>
      <c r="U18" s="639"/>
      <c r="V18" s="639"/>
      <c r="W18" s="639"/>
      <c r="X18" s="639"/>
      <c r="Y18" s="639"/>
      <c r="Z18" s="639"/>
      <c r="AA18" s="639"/>
      <c r="AB18" s="639"/>
      <c r="AC18" s="639"/>
      <c r="AD18" s="646"/>
      <c r="AE18" s="456"/>
      <c r="AF18" s="456"/>
      <c r="AG18" s="376"/>
      <c r="AH18" s="376"/>
      <c r="AI18" s="376"/>
      <c r="AJ18" s="218"/>
    </row>
    <row r="19" spans="1:56" s="3" customFormat="1" ht="14.25" customHeight="1" thickBot="1" x14ac:dyDescent="0.25">
      <c r="A19" s="826" t="str">
        <f>IF(Calculation!Q13=2,"BB",IF(Calculation!Q13=3,"BB",IF(Calculation!Q13=5,"",IF(Calculation!Q13=6,"BB",IF(Calculation!Q13=7,"BB","")))))</f>
        <v>BB</v>
      </c>
      <c r="B19" s="827"/>
      <c r="C19" s="830"/>
      <c r="D19" s="831"/>
      <c r="E19" s="850" t="str">
        <f>IF(Calculation!Q13=2,"mm",IF(Calculation!Q13=3,"mm",IF(Calculation!Q13=5,"",IF(Calculation!Q13=6,"mm",IF(Calculation!Q13=7,"mm","")))))</f>
        <v>mm</v>
      </c>
      <c r="F19" s="851"/>
      <c r="G19" s="779" t="s">
        <v>654</v>
      </c>
      <c r="H19" s="780"/>
      <c r="I19" s="781">
        <v>2300</v>
      </c>
      <c r="J19" s="781"/>
      <c r="K19" s="854" t="s">
        <v>655</v>
      </c>
      <c r="L19" s="858"/>
      <c r="M19" s="779" t="s">
        <v>656</v>
      </c>
      <c r="N19" s="780"/>
      <c r="O19" s="782">
        <f>2.4*10^10</f>
        <v>24000000000</v>
      </c>
      <c r="P19" s="782"/>
      <c r="Q19" s="854" t="s">
        <v>657</v>
      </c>
      <c r="R19" s="855"/>
      <c r="S19" s="641"/>
      <c r="T19" s="639"/>
      <c r="U19" s="639"/>
      <c r="V19" s="639"/>
      <c r="W19" s="639"/>
      <c r="X19" s="639"/>
      <c r="Y19" s="639"/>
      <c r="Z19" s="639"/>
      <c r="AA19" s="639"/>
      <c r="AB19" s="639"/>
      <c r="AC19" s="639"/>
      <c r="AD19" s="640"/>
      <c r="AE19" s="218"/>
      <c r="AF19" s="218"/>
      <c r="AG19" s="376"/>
      <c r="AH19" s="376"/>
      <c r="AI19" s="376"/>
      <c r="AJ19" s="414"/>
    </row>
    <row r="20" spans="1:56" s="3" customFormat="1" ht="19.5" customHeight="1" thickBot="1" x14ac:dyDescent="0.25">
      <c r="A20" s="773" t="s">
        <v>35</v>
      </c>
      <c r="B20" s="774"/>
      <c r="C20" s="774"/>
      <c r="D20" s="774"/>
      <c r="E20" s="774"/>
      <c r="F20" s="774"/>
      <c r="G20" s="774"/>
      <c r="H20" s="774"/>
      <c r="I20" s="774"/>
      <c r="J20" s="774"/>
      <c r="K20" s="774"/>
      <c r="L20" s="774"/>
      <c r="M20" s="774"/>
      <c r="N20" s="774"/>
      <c r="O20" s="774"/>
      <c r="P20" s="774"/>
      <c r="Q20" s="774"/>
      <c r="R20" s="775"/>
      <c r="S20" s="641"/>
      <c r="T20" s="639"/>
      <c r="U20" s="639"/>
      <c r="V20" s="639"/>
      <c r="W20" s="639"/>
      <c r="X20" s="639"/>
      <c r="Y20" s="639"/>
      <c r="Z20" s="639"/>
      <c r="AA20" s="639"/>
      <c r="AB20" s="639"/>
      <c r="AC20" s="639"/>
      <c r="AD20" s="640"/>
      <c r="AE20" s="218"/>
      <c r="AF20" s="218"/>
      <c r="AG20" s="376"/>
      <c r="AH20" s="376"/>
      <c r="AI20" s="376"/>
      <c r="AJ20" s="414"/>
    </row>
    <row r="21" spans="1:56" s="3" customFormat="1" ht="14.25" customHeight="1" x14ac:dyDescent="0.2">
      <c r="A21" s="852" t="s">
        <v>422</v>
      </c>
      <c r="B21" s="853"/>
      <c r="C21" s="839">
        <v>8000</v>
      </c>
      <c r="D21" s="840"/>
      <c r="E21" s="589" t="s">
        <v>4</v>
      </c>
      <c r="F21" s="843" t="s">
        <v>661</v>
      </c>
      <c r="G21" s="844"/>
      <c r="H21" s="847">
        <f>IF(C21&lt;&gt;"",IF(C22&lt;&gt;"",(C21/1000)*(C22/1000),""),"")</f>
        <v>72</v>
      </c>
      <c r="I21" s="847"/>
      <c r="J21" s="718" t="s">
        <v>590</v>
      </c>
      <c r="K21" s="675" t="s">
        <v>591</v>
      </c>
      <c r="L21" s="676"/>
      <c r="M21" s="676"/>
      <c r="N21" s="835" t="str">
        <f>IF(H21&lt;&gt;"",IF('Result_重量床衝撃音 (31.5Hz)'!F14&lt;&gt;"125Hz帯域","大脇・山下式2021","木村・井上式（1988）"),"")</f>
        <v>大脇・山下式2021</v>
      </c>
      <c r="O21" s="835"/>
      <c r="P21" s="835"/>
      <c r="Q21" s="835"/>
      <c r="R21" s="836"/>
      <c r="S21" s="641"/>
      <c r="T21" s="745"/>
      <c r="U21" s="745"/>
      <c r="V21" s="745"/>
      <c r="W21" s="745"/>
      <c r="X21" s="639"/>
      <c r="Y21" s="639"/>
      <c r="Z21" s="639"/>
      <c r="AA21" s="639"/>
      <c r="AB21" s="639"/>
      <c r="AC21" s="639"/>
      <c r="AD21" s="640"/>
      <c r="AG21" s="376"/>
      <c r="AH21" s="376"/>
      <c r="AI21" s="376"/>
      <c r="AJ21" s="414"/>
    </row>
    <row r="22" spans="1:56" s="3" customFormat="1" ht="14.25" customHeight="1" thickBot="1" x14ac:dyDescent="0.25">
      <c r="A22" s="856" t="s">
        <v>423</v>
      </c>
      <c r="B22" s="857"/>
      <c r="C22" s="841">
        <v>9000</v>
      </c>
      <c r="D22" s="842"/>
      <c r="E22" s="575" t="s">
        <v>4</v>
      </c>
      <c r="F22" s="832" t="s">
        <v>632</v>
      </c>
      <c r="G22" s="833"/>
      <c r="H22" s="746"/>
      <c r="I22" s="746"/>
      <c r="J22" s="747"/>
      <c r="K22" s="738" t="s">
        <v>592</v>
      </c>
      <c r="L22" s="739"/>
      <c r="M22" s="739"/>
      <c r="N22" s="441">
        <f>'Result_重量床衝撃音 (31.5Hz)'!D14</f>
        <v>9.0106208852520506</v>
      </c>
      <c r="O22" s="576" t="str">
        <f>IF(H21&lt;&gt;"",'Result_重量床衝撃音 (31.5Hz)'!E14,"")</f>
        <v xml:space="preserve">Hz </v>
      </c>
      <c r="P22" s="837" t="str">
        <f>IF(H21&lt;&gt;"","( "&amp;'Result_重量床衝撃音 (31.5Hz)'!F14&amp;" )","")</f>
        <v>( 8Hz帯域 )</v>
      </c>
      <c r="Q22" s="837"/>
      <c r="R22" s="838"/>
      <c r="S22" s="641"/>
      <c r="T22" s="745"/>
      <c r="U22" s="745"/>
      <c r="V22" s="745"/>
      <c r="W22" s="745"/>
      <c r="X22" s="639"/>
      <c r="Y22" s="639"/>
      <c r="Z22" s="639"/>
      <c r="AA22" s="639"/>
      <c r="AB22" s="639"/>
      <c r="AC22" s="639"/>
      <c r="AD22" s="640"/>
      <c r="AG22" s="376"/>
      <c r="AH22" s="376"/>
      <c r="AI22" s="376"/>
      <c r="AJ22" s="414"/>
    </row>
    <row r="23" spans="1:56" s="3" customFormat="1" ht="19.5" customHeight="1" thickBot="1" x14ac:dyDescent="0.25">
      <c r="A23" s="776" t="s">
        <v>429</v>
      </c>
      <c r="B23" s="777"/>
      <c r="C23" s="777"/>
      <c r="D23" s="777"/>
      <c r="E23" s="777"/>
      <c r="F23" s="777"/>
      <c r="G23" s="777"/>
      <c r="H23" s="777"/>
      <c r="I23" s="777"/>
      <c r="J23" s="777"/>
      <c r="K23" s="777"/>
      <c r="L23" s="777"/>
      <c r="M23" s="777"/>
      <c r="N23" s="777"/>
      <c r="O23" s="777"/>
      <c r="P23" s="777"/>
      <c r="Q23" s="777"/>
      <c r="R23" s="778"/>
      <c r="S23" s="641"/>
      <c r="T23" s="639"/>
      <c r="U23" s="639"/>
      <c r="V23" s="639"/>
      <c r="W23" s="639"/>
      <c r="X23" s="639"/>
      <c r="Y23" s="639"/>
      <c r="Z23" s="639"/>
      <c r="AA23" s="639"/>
      <c r="AB23" s="639"/>
      <c r="AC23" s="639"/>
      <c r="AD23" s="640"/>
      <c r="AG23" s="376"/>
      <c r="AH23" s="376"/>
      <c r="AI23" s="414"/>
      <c r="AJ23" s="414"/>
    </row>
    <row r="24" spans="1:56" s="3" customFormat="1" ht="14.25" customHeight="1" x14ac:dyDescent="0.2">
      <c r="A24" s="751" t="s">
        <v>407</v>
      </c>
      <c r="B24" s="749" t="s">
        <v>465</v>
      </c>
      <c r="C24" s="749"/>
      <c r="D24" s="749"/>
      <c r="E24" s="749"/>
      <c r="F24" s="749"/>
      <c r="G24" s="749"/>
      <c r="H24" s="834" t="s">
        <v>39</v>
      </c>
      <c r="I24" s="834"/>
      <c r="J24" s="834"/>
      <c r="K24" s="834"/>
      <c r="L24" s="834"/>
      <c r="M24" s="834"/>
      <c r="N24" s="634">
        <v>1</v>
      </c>
      <c r="O24" s="845" t="s">
        <v>536</v>
      </c>
      <c r="P24" s="845"/>
      <c r="Q24" s="845"/>
      <c r="R24" s="846"/>
      <c r="S24" s="641"/>
      <c r="T24" s="639"/>
      <c r="U24" s="639"/>
      <c r="V24" s="639"/>
      <c r="W24" s="639"/>
      <c r="X24" s="639"/>
      <c r="Y24" s="639"/>
      <c r="Z24" s="639"/>
      <c r="AA24" s="639"/>
      <c r="AB24" s="639"/>
      <c r="AC24" s="639"/>
      <c r="AD24" s="640"/>
      <c r="AG24" s="376"/>
      <c r="AH24" s="376"/>
      <c r="AI24" s="414"/>
      <c r="AJ24" s="414"/>
    </row>
    <row r="25" spans="1:56" s="3" customFormat="1" ht="14.25" customHeight="1" x14ac:dyDescent="0.2">
      <c r="A25" s="751"/>
      <c r="B25" s="761" t="s">
        <v>558</v>
      </c>
      <c r="C25" s="761"/>
      <c r="D25" s="590" t="s">
        <v>397</v>
      </c>
      <c r="E25" s="590" t="s">
        <v>496</v>
      </c>
      <c r="F25" s="590" t="s">
        <v>361</v>
      </c>
      <c r="G25" s="440"/>
      <c r="H25" s="761" t="s">
        <v>558</v>
      </c>
      <c r="I25" s="761"/>
      <c r="J25" s="590" t="s">
        <v>397</v>
      </c>
      <c r="K25" s="590" t="s">
        <v>496</v>
      </c>
      <c r="L25" s="590" t="s">
        <v>361</v>
      </c>
      <c r="M25" s="440"/>
      <c r="N25" s="634">
        <v>2</v>
      </c>
      <c r="O25" s="752" t="s">
        <v>541</v>
      </c>
      <c r="P25" s="752"/>
      <c r="Q25" s="752"/>
      <c r="R25" s="753"/>
      <c r="S25" s="641"/>
      <c r="T25" s="639"/>
      <c r="U25" s="639"/>
      <c r="V25" s="639"/>
      <c r="W25" s="639"/>
      <c r="X25" s="639"/>
      <c r="Y25" s="639"/>
      <c r="Z25" s="639"/>
      <c r="AA25" s="639"/>
      <c r="AB25" s="639"/>
      <c r="AC25" s="639"/>
      <c r="AD25" s="640"/>
    </row>
    <row r="26" spans="1:56" s="3" customFormat="1" ht="14.25" customHeight="1" x14ac:dyDescent="0.2">
      <c r="A26" s="384" t="s">
        <v>15</v>
      </c>
      <c r="B26" s="763">
        <v>500</v>
      </c>
      <c r="C26" s="763"/>
      <c r="D26" s="377">
        <v>1</v>
      </c>
      <c r="E26" s="377"/>
      <c r="F26" s="377"/>
      <c r="G26" s="736">
        <f>Calculation!M141</f>
        <v>3.5</v>
      </c>
      <c r="H26" s="763"/>
      <c r="I26" s="763"/>
      <c r="J26" s="377">
        <v>1</v>
      </c>
      <c r="K26" s="377"/>
      <c r="L26" s="377"/>
      <c r="M26" s="736">
        <f>Calculation!N141</f>
        <v>3.5</v>
      </c>
      <c r="N26" s="635">
        <v>3</v>
      </c>
      <c r="O26" s="767" t="s">
        <v>537</v>
      </c>
      <c r="P26" s="768"/>
      <c r="Q26" s="768"/>
      <c r="R26" s="769"/>
      <c r="S26" s="641"/>
      <c r="T26" s="639"/>
      <c r="U26" s="639"/>
      <c r="V26" s="639"/>
      <c r="W26" s="639"/>
      <c r="X26" s="639"/>
      <c r="Y26" s="639"/>
      <c r="Z26" s="639"/>
      <c r="AA26" s="639"/>
      <c r="AB26" s="639"/>
      <c r="AC26" s="639"/>
      <c r="AD26" s="640"/>
    </row>
    <row r="27" spans="1:56" s="3" customFormat="1" ht="14.25" customHeight="1" x14ac:dyDescent="0.2">
      <c r="A27" s="385" t="s">
        <v>40</v>
      </c>
      <c r="B27" s="754">
        <v>1500</v>
      </c>
      <c r="C27" s="754"/>
      <c r="D27" s="378">
        <v>1</v>
      </c>
      <c r="E27" s="378"/>
      <c r="F27" s="378"/>
      <c r="G27" s="723">
        <f>Calculation!M142</f>
        <v>3.5</v>
      </c>
      <c r="H27" s="754"/>
      <c r="I27" s="754"/>
      <c r="J27" s="378">
        <v>1</v>
      </c>
      <c r="K27" s="378"/>
      <c r="L27" s="378"/>
      <c r="M27" s="723">
        <f>Calculation!N142</f>
        <v>3.5</v>
      </c>
      <c r="N27" s="635">
        <v>4</v>
      </c>
      <c r="O27" s="767" t="s">
        <v>538</v>
      </c>
      <c r="P27" s="768"/>
      <c r="Q27" s="768"/>
      <c r="R27" s="769"/>
      <c r="S27" s="641"/>
      <c r="T27" s="639"/>
      <c r="U27" s="639"/>
      <c r="V27" s="639"/>
      <c r="W27" s="639"/>
      <c r="X27" s="639"/>
      <c r="Y27" s="639"/>
      <c r="Z27" s="639"/>
      <c r="AA27" s="639"/>
      <c r="AB27" s="644"/>
      <c r="AC27" s="639"/>
      <c r="AD27" s="640"/>
    </row>
    <row r="28" spans="1:56" s="3" customFormat="1" ht="14.25" customHeight="1" x14ac:dyDescent="0.2">
      <c r="A28" s="385" t="s">
        <v>41</v>
      </c>
      <c r="B28" s="754">
        <v>1000</v>
      </c>
      <c r="C28" s="754"/>
      <c r="D28" s="378">
        <v>1</v>
      </c>
      <c r="E28" s="378"/>
      <c r="F28" s="378"/>
      <c r="G28" s="723">
        <f>Calculation!M143</f>
        <v>3.5</v>
      </c>
      <c r="H28" s="754">
        <v>2000</v>
      </c>
      <c r="I28" s="754"/>
      <c r="J28" s="378">
        <v>1</v>
      </c>
      <c r="K28" s="378"/>
      <c r="L28" s="378"/>
      <c r="M28" s="723">
        <f>Calculation!N143</f>
        <v>3.5</v>
      </c>
      <c r="N28" s="636">
        <v>5</v>
      </c>
      <c r="O28" s="752" t="s">
        <v>529</v>
      </c>
      <c r="P28" s="752"/>
      <c r="Q28" s="752"/>
      <c r="R28" s="753"/>
      <c r="S28" s="641"/>
      <c r="T28" s="639"/>
      <c r="U28" s="639"/>
      <c r="V28" s="639"/>
      <c r="W28" s="639"/>
      <c r="X28" s="639"/>
      <c r="Y28" s="639"/>
      <c r="Z28" s="639"/>
      <c r="AA28" s="639"/>
      <c r="AB28" s="639"/>
      <c r="AC28" s="639"/>
      <c r="AD28" s="640"/>
    </row>
    <row r="29" spans="1:56" s="3" customFormat="1" ht="14.25" customHeight="1" x14ac:dyDescent="0.2">
      <c r="A29" s="385" t="s">
        <v>42</v>
      </c>
      <c r="B29" s="754">
        <v>500</v>
      </c>
      <c r="C29" s="754"/>
      <c r="D29" s="378">
        <v>1</v>
      </c>
      <c r="E29" s="378"/>
      <c r="F29" s="378"/>
      <c r="G29" s="723">
        <f>Calculation!M144</f>
        <v>3.5</v>
      </c>
      <c r="H29" s="754">
        <v>4000</v>
      </c>
      <c r="I29" s="754"/>
      <c r="J29" s="378">
        <v>1</v>
      </c>
      <c r="K29" s="378"/>
      <c r="L29" s="378"/>
      <c r="M29" s="723">
        <f>Calculation!N144</f>
        <v>3.5</v>
      </c>
      <c r="N29" s="636">
        <v>6</v>
      </c>
      <c r="O29" s="752" t="s">
        <v>531</v>
      </c>
      <c r="P29" s="752"/>
      <c r="Q29" s="752"/>
      <c r="R29" s="753"/>
      <c r="S29" s="641"/>
      <c r="T29" s="639"/>
      <c r="U29" s="639"/>
      <c r="V29" s="639"/>
      <c r="W29" s="639"/>
      <c r="X29" s="639"/>
      <c r="Y29" s="639"/>
      <c r="Z29" s="639"/>
      <c r="AA29" s="639"/>
      <c r="AB29" s="639"/>
      <c r="AC29" s="639"/>
      <c r="AD29" s="640"/>
    </row>
    <row r="30" spans="1:56" s="3" customFormat="1" ht="14.25" customHeight="1" x14ac:dyDescent="0.2">
      <c r="A30" s="386" t="s">
        <v>43</v>
      </c>
      <c r="B30" s="762">
        <v>1500</v>
      </c>
      <c r="C30" s="762"/>
      <c r="D30" s="379">
        <v>1</v>
      </c>
      <c r="E30" s="379"/>
      <c r="F30" s="379"/>
      <c r="G30" s="737">
        <f>Calculation!M145</f>
        <v>3.5</v>
      </c>
      <c r="H30" s="762">
        <v>4000</v>
      </c>
      <c r="I30" s="762"/>
      <c r="J30" s="379">
        <v>1</v>
      </c>
      <c r="K30" s="379"/>
      <c r="L30" s="379"/>
      <c r="M30" s="737">
        <f>Calculation!N145</f>
        <v>3.5</v>
      </c>
      <c r="N30" s="636">
        <v>7</v>
      </c>
      <c r="O30" s="752" t="s">
        <v>530</v>
      </c>
      <c r="P30" s="771"/>
      <c r="Q30" s="771"/>
      <c r="R30" s="772"/>
      <c r="S30" s="641"/>
      <c r="T30" s="639"/>
      <c r="U30" s="639"/>
      <c r="V30" s="639"/>
      <c r="W30" s="639"/>
      <c r="X30" s="639"/>
      <c r="Y30" s="639"/>
      <c r="Z30" s="639"/>
      <c r="AA30" s="639"/>
      <c r="AB30" s="639"/>
      <c r="AC30" s="639"/>
      <c r="AD30" s="640"/>
    </row>
    <row r="31" spans="1:56" s="3" customFormat="1" ht="14.25" customHeight="1" x14ac:dyDescent="0.2">
      <c r="A31" s="591" t="s">
        <v>29</v>
      </c>
      <c r="B31" s="770" t="str">
        <f>IF(Calculation!E113=0,IF(Calculation!H113=0,IF(SUM(Calculation!A108:B112)=0,Calculation!B114,Calculation!B115),Calculation!G113),Calculation!D113)</f>
        <v>y方向の距離が未入力です!</v>
      </c>
      <c r="C31" s="770"/>
      <c r="D31" s="770"/>
      <c r="E31" s="770"/>
      <c r="F31" s="770"/>
      <c r="G31" s="770"/>
      <c r="H31" s="770"/>
      <c r="I31" s="770"/>
      <c r="J31" s="770"/>
      <c r="K31" s="770"/>
      <c r="L31" s="770"/>
      <c r="M31" s="770"/>
      <c r="N31" s="634">
        <v>8</v>
      </c>
      <c r="O31" s="758" t="s">
        <v>585</v>
      </c>
      <c r="P31" s="759"/>
      <c r="Q31" s="759"/>
      <c r="R31" s="760"/>
      <c r="S31" s="641"/>
      <c r="T31" s="639"/>
      <c r="U31" s="639"/>
      <c r="V31" s="639"/>
      <c r="W31" s="639"/>
      <c r="X31" s="639"/>
      <c r="Y31" s="639"/>
      <c r="Z31" s="639"/>
      <c r="AA31" s="639"/>
      <c r="AB31" s="639"/>
      <c r="AC31" s="639"/>
      <c r="AD31" s="640"/>
    </row>
    <row r="32" spans="1:56" s="3" customFormat="1" ht="14.25" customHeight="1" x14ac:dyDescent="0.2">
      <c r="A32" s="764" t="s">
        <v>611</v>
      </c>
      <c r="B32" s="765"/>
      <c r="C32" s="765"/>
      <c r="D32" s="765"/>
      <c r="E32" s="765"/>
      <c r="F32" s="765"/>
      <c r="G32" s="765"/>
      <c r="H32" s="765"/>
      <c r="I32" s="765"/>
      <c r="J32" s="765"/>
      <c r="K32" s="765"/>
      <c r="L32" s="765"/>
      <c r="M32" s="766"/>
      <c r="N32" s="637">
        <v>9</v>
      </c>
      <c r="O32" s="388" t="s">
        <v>586</v>
      </c>
      <c r="P32" s="389"/>
      <c r="Q32" s="389"/>
      <c r="R32" s="390"/>
      <c r="S32" s="641"/>
      <c r="T32" s="639"/>
      <c r="U32" s="639"/>
      <c r="V32" s="639"/>
      <c r="W32" s="639"/>
      <c r="X32" s="639"/>
      <c r="Y32" s="639"/>
      <c r="Z32" s="639"/>
      <c r="AA32" s="639"/>
      <c r="AB32" s="639"/>
      <c r="AC32" s="639"/>
      <c r="AD32" s="640"/>
    </row>
    <row r="33" spans="1:30" s="3" customFormat="1" ht="19.5" customHeight="1" x14ac:dyDescent="0.2">
      <c r="A33" s="755" t="s">
        <v>406</v>
      </c>
      <c r="B33" s="756"/>
      <c r="C33" s="756"/>
      <c r="D33" s="756"/>
      <c r="E33" s="756"/>
      <c r="F33" s="756"/>
      <c r="G33" s="756"/>
      <c r="H33" s="756"/>
      <c r="I33" s="756"/>
      <c r="J33" s="756"/>
      <c r="K33" s="756"/>
      <c r="L33" s="756"/>
      <c r="M33" s="756"/>
      <c r="N33" s="756"/>
      <c r="O33" s="756"/>
      <c r="P33" s="756"/>
      <c r="Q33" s="756"/>
      <c r="R33" s="757"/>
      <c r="S33" s="641"/>
      <c r="T33" s="639"/>
      <c r="U33" s="639"/>
      <c r="V33" s="639"/>
      <c r="W33" s="639"/>
      <c r="X33" s="639"/>
      <c r="Y33" s="639"/>
      <c r="Z33" s="639"/>
      <c r="AA33" s="639"/>
      <c r="AB33" s="639"/>
      <c r="AC33" s="639"/>
      <c r="AD33" s="640"/>
    </row>
    <row r="34" spans="1:30" s="3" customFormat="1" ht="14.25" customHeight="1" x14ac:dyDescent="0.15">
      <c r="A34" s="817" t="s">
        <v>379</v>
      </c>
      <c r="B34" s="749"/>
      <c r="C34" s="749"/>
      <c r="D34" s="749"/>
      <c r="E34" s="749"/>
      <c r="F34" s="749"/>
      <c r="G34" s="749" t="s">
        <v>431</v>
      </c>
      <c r="H34" s="749"/>
      <c r="I34" s="749"/>
      <c r="J34" s="749"/>
      <c r="K34" s="749"/>
      <c r="L34" s="749"/>
      <c r="M34" s="749"/>
      <c r="N34" s="749"/>
      <c r="O34" s="749"/>
      <c r="P34" s="749"/>
      <c r="Q34" s="749"/>
      <c r="R34" s="750"/>
      <c r="S34" s="641"/>
      <c r="T34" s="639"/>
      <c r="U34" s="639"/>
      <c r="V34" s="639"/>
      <c r="W34" s="639"/>
      <c r="X34" s="639"/>
      <c r="Y34" s="639"/>
      <c r="Z34" s="639"/>
      <c r="AA34" s="639"/>
      <c r="AB34" s="639"/>
      <c r="AC34" s="639"/>
      <c r="AD34" s="640"/>
    </row>
    <row r="35" spans="1:30" s="3" customFormat="1" ht="14.25" customHeight="1" x14ac:dyDescent="0.2">
      <c r="A35" s="818" t="s">
        <v>50</v>
      </c>
      <c r="B35" s="819"/>
      <c r="C35" s="810">
        <v>5</v>
      </c>
      <c r="D35" s="810"/>
      <c r="E35" s="810"/>
      <c r="F35" s="810"/>
      <c r="G35" s="812" t="s">
        <v>465</v>
      </c>
      <c r="H35" s="812"/>
      <c r="I35" s="812"/>
      <c r="J35" s="812"/>
      <c r="K35" s="812"/>
      <c r="L35" s="812"/>
      <c r="M35" s="812"/>
      <c r="N35" s="812"/>
      <c r="O35" s="812"/>
      <c r="P35" s="812"/>
      <c r="Q35" s="812"/>
      <c r="R35" s="813"/>
      <c r="S35" s="641"/>
      <c r="T35" s="639"/>
      <c r="U35" s="639"/>
      <c r="V35" s="639"/>
      <c r="W35" s="639"/>
      <c r="X35" s="639"/>
      <c r="Y35" s="639"/>
      <c r="Z35" s="639"/>
      <c r="AA35" s="639"/>
      <c r="AB35" s="639"/>
      <c r="AC35" s="639"/>
      <c r="AD35" s="640"/>
    </row>
    <row r="36" spans="1:30" s="3" customFormat="1" ht="14.25" customHeight="1" x14ac:dyDescent="0.2">
      <c r="A36" s="818" t="s">
        <v>51</v>
      </c>
      <c r="B36" s="819"/>
      <c r="C36" s="810">
        <v>6</v>
      </c>
      <c r="D36" s="810"/>
      <c r="E36" s="810"/>
      <c r="F36" s="810"/>
      <c r="G36" s="789" t="s">
        <v>560</v>
      </c>
      <c r="H36" s="790"/>
      <c r="I36" s="791"/>
      <c r="J36" s="740" t="str">
        <f>IF($N$21="大脇・山下式2021",Calculation!C206,"-")</f>
        <v>a</v>
      </c>
      <c r="K36" s="740" t="str">
        <f>IF($N$21="大脇・山下式2021",Calculation!D206,"-")</f>
        <v>-</v>
      </c>
      <c r="L36" s="740" t="str">
        <f>IF($N$21="大脇・山下式2021",Calculation!E206,"-")</f>
        <v>-</v>
      </c>
      <c r="M36" s="741" t="str">
        <f>IF($N$21="大脇・山下式2021",Calculation!F206,"-")</f>
        <v>-</v>
      </c>
      <c r="N36" s="744" t="s">
        <v>539</v>
      </c>
      <c r="O36" s="821" t="str">
        <f>IF($N$21="大脇・山下式2021","e","-")</f>
        <v>e</v>
      </c>
      <c r="P36" s="821" t="str">
        <f>IF($N$21="大脇・山下式2021","ｆ","-")</f>
        <v>ｆ</v>
      </c>
      <c r="Q36" s="821" t="str">
        <f>IF($N$21="木村・井上式（1988）","g","-")</f>
        <v>-</v>
      </c>
      <c r="R36" s="895" t="str">
        <f>IF($N$21="木村・井上式（1988）","h","-")</f>
        <v>-</v>
      </c>
      <c r="S36" s="641"/>
      <c r="T36" s="639"/>
      <c r="U36" s="639"/>
      <c r="V36" s="639"/>
      <c r="W36" s="644"/>
      <c r="X36" s="647"/>
      <c r="Y36" s="639"/>
      <c r="Z36" s="639"/>
      <c r="AA36" s="639"/>
      <c r="AB36" s="639"/>
      <c r="AC36" s="639"/>
      <c r="AD36" s="640"/>
    </row>
    <row r="37" spans="1:30" s="3" customFormat="1" ht="14.25" customHeight="1" x14ac:dyDescent="0.2">
      <c r="A37" s="818" t="s">
        <v>52</v>
      </c>
      <c r="B37" s="819"/>
      <c r="C37" s="810">
        <v>7</v>
      </c>
      <c r="D37" s="810"/>
      <c r="E37" s="810"/>
      <c r="F37" s="810"/>
      <c r="G37" s="792"/>
      <c r="H37" s="793"/>
      <c r="I37" s="794"/>
      <c r="J37" s="411">
        <f>IF($N$21="大脇・山下式2021",Calculation!C207,"-")</f>
        <v>3.5</v>
      </c>
      <c r="K37" s="411" t="str">
        <f>IF($N$21="大脇・山下式2021",Calculation!D207,"-")</f>
        <v>-</v>
      </c>
      <c r="L37" s="411" t="str">
        <f>IF($N$21="大脇・山下式2021",Calculation!E207,"-")</f>
        <v>-</v>
      </c>
      <c r="M37" s="412" t="str">
        <f>IF($N$21="大脇・山下式2021",Calculation!F207,"-")</f>
        <v>-</v>
      </c>
      <c r="N37" s="743"/>
      <c r="O37" s="822"/>
      <c r="P37" s="822"/>
      <c r="Q37" s="822"/>
      <c r="R37" s="896"/>
      <c r="S37" s="641"/>
      <c r="T37" s="639"/>
      <c r="U37" s="639"/>
      <c r="V37" s="639"/>
      <c r="W37" s="639"/>
      <c r="X37" s="639"/>
      <c r="Y37" s="639"/>
      <c r="Z37" s="639"/>
      <c r="AA37" s="639"/>
      <c r="AB37" s="639"/>
      <c r="AC37" s="639"/>
      <c r="AD37" s="640"/>
    </row>
    <row r="38" spans="1:30" s="3" customFormat="1" ht="14.25" customHeight="1" x14ac:dyDescent="0.2">
      <c r="A38" s="903" t="s">
        <v>14</v>
      </c>
      <c r="B38" s="904"/>
      <c r="C38" s="811">
        <v>8</v>
      </c>
      <c r="D38" s="811"/>
      <c r="E38" s="811"/>
      <c r="F38" s="811"/>
      <c r="G38" s="795" t="s">
        <v>50</v>
      </c>
      <c r="H38" s="796"/>
      <c r="I38" s="797"/>
      <c r="J38" s="724">
        <f>IF(J37&lt;&gt;"",IF(J37&lt;&gt;"-",IF((0.0057*20*LOG10(J37)+0.16)*Calculation!$F$97&lt;$C$21/1000/2,(0.0057*20*LOG10(J37)+0.16)*Calculation!$F$97,$C$21/1000/2),"-"),"")</f>
        <v>0.81989712093917788</v>
      </c>
      <c r="K38" s="724" t="str">
        <f>IF(K37&lt;&gt;"",IF(K37&lt;&gt;"-",IF((0.0057*20*LOG10(K37)+0.16)*Calculation!$F$97&lt;$C$21/1000/2,(0.0057*20*LOG10(K37)+0.16)*Calculation!$F$97,$C$21/1000/2),"-"),"")</f>
        <v>-</v>
      </c>
      <c r="L38" s="724" t="str">
        <f>IF(L37&lt;&gt;"",IF(L37&lt;&gt;"-",IF((0.0057*20*LOG10(L37)+0.16)*Calculation!$F$97&lt;$C$21/1000/2,(0.0057*20*LOG10(L37)+0.16)*Calculation!$F$97,$C$21/1000/2),"-"),"")</f>
        <v>-</v>
      </c>
      <c r="M38" s="725" t="str">
        <f>IF(M37&lt;&gt;"",IF(M37&lt;&gt;"-",IF((0.0057*20*LOG10(M37)+0.16)*Calculation!$F$97&lt;$C$21/1000/2,(0.0057*20*LOG10(M37)+0.16)*Calculation!$F$97,$C$21/1000/2),"-"),"")</f>
        <v>-</v>
      </c>
      <c r="N38" s="726" t="str">
        <f>IF(N37&lt;&gt;"",IF(N37&lt;&gt;"-",IF((0.0057*20*LOG10(N37)+0.16)*Calculation!$F$97&lt;$C$21/1000/2,(0.0057*20*LOG10(N37)+0.16)*Calculation!$F$97,$C$21/1000/2),"-"),"")</f>
        <v/>
      </c>
      <c r="O38" s="724">
        <f>IF($N$21&lt;&gt;"木村・井上式（1988）",IF($O$36&lt;&gt;"-",IF(Calculation!$F$97*0.175&lt;$C$21/1000/2,Calculation!$F$97*0.175,$C$21/1000/2),"-"),"-")</f>
        <v>0.64624614080470066</v>
      </c>
      <c r="P38" s="724">
        <f>IF($N$21&lt;&gt;"木村・井上式（1988）",IF($P$36&lt;&gt;"-",IF(Calculation!$F$97*0.117&lt;$C$21/1000/2,Calculation!$F$97*0.117,$C$21/1000/2),"-"),"-")</f>
        <v>0.43206170556657131</v>
      </c>
      <c r="Q38" s="724" t="str">
        <f>IF($N$21="木村・井上式（1988）",IF($Q$36&lt;&gt;"-",IF(Calculation!$F$97*0.25&lt;$C$21/1000/4,Calculation!$F$97*0.25,$C$21/1000/4),"-"),"-")</f>
        <v>-</v>
      </c>
      <c r="R38" s="727" t="str">
        <f>IF($N$21="木村・井上式（1988）",IF($R$36&lt;&gt;"-",IF(Calculation!$F$97*0.25&lt;$C$21/1000/4,Calculation!$F$97*0.25,$C$21/1000/4),"-"),"-")</f>
        <v>-</v>
      </c>
      <c r="S38" s="641"/>
      <c r="T38" s="639"/>
      <c r="U38" s="639"/>
      <c r="V38" s="639"/>
      <c r="W38" s="639"/>
      <c r="X38" s="639"/>
      <c r="Y38" s="639"/>
      <c r="Z38" s="639"/>
      <c r="AA38" s="639"/>
      <c r="AB38" s="639"/>
      <c r="AC38" s="639"/>
      <c r="AD38" s="640"/>
    </row>
    <row r="39" spans="1:30" s="3" customFormat="1" ht="14.25" customHeight="1" x14ac:dyDescent="0.2">
      <c r="A39" s="807" t="s">
        <v>560</v>
      </c>
      <c r="B39" s="808"/>
      <c r="C39" s="808"/>
      <c r="D39" s="808"/>
      <c r="E39" s="808"/>
      <c r="F39" s="809"/>
      <c r="G39" s="798" t="s">
        <v>51</v>
      </c>
      <c r="H39" s="799"/>
      <c r="I39" s="800"/>
      <c r="J39" s="724">
        <f>IF(J37&lt;&gt;"",IF(J37&lt;&gt;"-",IF((0.0057*20*LOG10(J37)+0.16)*Calculation!$G$97&lt;$C$21/1000/2,(0.0057*20*LOG10(J37)+0.16)*Calculation!$G$97,$C$21/1000/2),"-"),"")</f>
        <v>0.58206921376918219</v>
      </c>
      <c r="K39" s="724" t="str">
        <f>IF(K37&lt;&gt;"",IF(K37&lt;&gt;"-",IF((0.0057*20*LOG10(K37)+0.16)*Calculation!$G$97&lt;$C$21/1000/2,(0.0057*20*LOG10(K37)+0.16)*Calculation!$G$97,$C$21/1000/2),"-"),"")</f>
        <v>-</v>
      </c>
      <c r="L39" s="724" t="str">
        <f>IF(L37&lt;&gt;"",IF(L37&lt;&gt;"-",IF((0.0057*20*LOG10(L37)+0.16)*Calculation!$G$97&lt;$C$21/1000/2,(0.0057*20*LOG10(L37)+0.16)*Calculation!$G$97,$C$21/1000/2),"-"),"")</f>
        <v>-</v>
      </c>
      <c r="M39" s="725" t="str">
        <f>IF(M37&lt;&gt;"",IF(M37&lt;&gt;"-",IF((0.0057*20*LOG10(M37)+0.16)*Calculation!$G$97&lt;$C$21/1000/2,(0.0057*20*LOG10(M37)+0.16)*Calculation!$G$97,$C$21/1000/2),"-"),"")</f>
        <v>-</v>
      </c>
      <c r="N39" s="726" t="str">
        <f>IF(N37&lt;&gt;"",IF(N37&lt;&gt;"-",IF((0.0057*20*LOG10(N37)+0.16)*Calculation!$G$97&lt;$C$21/1000/2,(0.0057*20*LOG10(N37)+0.16)*Calculation!$G$97,$C$21/1000/2),"-"),"")</f>
        <v/>
      </c>
      <c r="O39" s="724">
        <f>IF($N$21&lt;&gt;"木村・井上式（1988）",IF($O$36&lt;&gt;"-",IF(Calculation!$G$97*0.175&lt;$C$21/1000/2,Calculation!$G$97*0.175,$C$21/1000/2),"-"),"-")</f>
        <v>0.45878924742250049</v>
      </c>
      <c r="P39" s="724">
        <f>IF($N$21&lt;&gt;"木村・井上式（1988）",IF($P$36&lt;&gt;"-",IF(Calculation!$G$97*0.117&lt;$C$21/1000/2,Calculation!$G$97*0.117,$C$21/1000/2),"-"),"-")</f>
        <v>0.30673338256247179</v>
      </c>
      <c r="Q39" s="724" t="str">
        <f>IF($N$21="木村・井上式（1988）",IF($Q$36&lt;&gt;"-",IF(Calculation!$G$97*0.25&lt;$C$21/1000/4,Calculation!$G$97*0.25,$C$21/1000/4),"-"),"-")</f>
        <v>-</v>
      </c>
      <c r="R39" s="727" t="str">
        <f>IF($N$21="木村・井上式（1988）",IF($R$36&lt;&gt;"-",IF(Calculation!$G$97*0.25&lt;$C$21/1000/4,Calculation!$G$97*0.25,$C$21/1000/4),"-"),"-")</f>
        <v>-</v>
      </c>
      <c r="S39" s="648"/>
      <c r="T39" s="639"/>
      <c r="U39" s="639"/>
      <c r="V39" s="639"/>
      <c r="W39" s="639"/>
      <c r="X39" s="639"/>
      <c r="Y39" s="639"/>
      <c r="Z39" s="639"/>
      <c r="AA39" s="639"/>
      <c r="AB39" s="639"/>
      <c r="AC39" s="639"/>
      <c r="AD39" s="640"/>
    </row>
    <row r="40" spans="1:30" s="3" customFormat="1" ht="14.25" customHeight="1" x14ac:dyDescent="0.2">
      <c r="A40" s="814" t="s">
        <v>542</v>
      </c>
      <c r="B40" s="815"/>
      <c r="C40" s="815"/>
      <c r="D40" s="815"/>
      <c r="E40" s="815"/>
      <c r="F40" s="816"/>
      <c r="G40" s="798" t="s">
        <v>52</v>
      </c>
      <c r="H40" s="799"/>
      <c r="I40" s="800"/>
      <c r="J40" s="724">
        <f>IF(J37&lt;&gt;"",IF(J37&lt;&gt;"-",IF((0.0057*20*LOG10(J37)+0.16)*Calculation!$H$97&lt;$C$21/1000/2,(0.0057*20*LOG10(J37)+0.16)*Calculation!$H$97,$C$21/1000/2),"-"),"")</f>
        <v>0.41158508817611084</v>
      </c>
      <c r="K40" s="724" t="str">
        <f>IF(K37&lt;&gt;"",IF(K37&lt;&gt;"-",IF((0.0057*20*LOG10(K37)+0.16)*Calculation!$H$97&lt;$C$21/1000/2,(0.0057*20*LOG10(K37)+0.16)*Calculation!$H$97,$C$21/1000/2),"-"),"")</f>
        <v>-</v>
      </c>
      <c r="L40" s="724" t="str">
        <f>IF(L37&lt;&gt;"",IF(L37&lt;&gt;"-",IF((0.0057*20*LOG10(L37)+0.16)*Calculation!$H$97&lt;$C$21/1000/2,(0.0057*20*LOG10(L37)+0.16)*Calculation!$H$97,$C$21/1000/2),"-"),"")</f>
        <v>-</v>
      </c>
      <c r="M40" s="725" t="str">
        <f>IF(M37&lt;&gt;"",IF(M37&lt;&gt;"-",IF((0.0057*20*LOG10(M37)+0.16)*Calculation!$H$97&lt;$C$21/1000/2,(0.0057*20*LOG10(M37)+0.16)*Calculation!$H$97,$C$21/1000/2),"-"),"")</f>
        <v>-</v>
      </c>
      <c r="N40" s="726" t="str">
        <f>IF(N37&lt;&gt;"",IF(N37&lt;&gt;"-",IF((0.0057*20*LOG10(N37)+0.16)*Calculation!$H$97&lt;$C$21/1000/2,(0.0057*20*LOG10(N37)+0.16)*Calculation!$H$97,$C$21/1000/2),"-"),"")</f>
        <v/>
      </c>
      <c r="O40" s="724">
        <f>IF($N$21&lt;&gt;"木村・井上式（1988）",IF($O$36&lt;&gt;"-",IF(Calculation!$H$97*0.175&lt;$C$21/1000/2,Calculation!$H$97*0.175,$C$21/1000/2),"-"),"-")</f>
        <v>0.3244129879879229</v>
      </c>
      <c r="P40" s="724">
        <f>IF($N$21&lt;&gt;"木村・井上式（1988）",IF($P$36&lt;&gt;"-",IF(Calculation!$H$97*0.117&lt;$C$21/1000/2,Calculation!$H$97*0.117,$C$21/1000/2),"-"),"-")</f>
        <v>0.21689325482621133</v>
      </c>
      <c r="Q40" s="724" t="str">
        <f>IF($N$21="木村・井上式（1988）",IF($Q$36&lt;&gt;"-",IF(Calculation!$H$97*0.25&lt;$C$21/1000/4,Calculation!$H$97*0.25,$C$21/1000/4),"-"),"-")</f>
        <v>-</v>
      </c>
      <c r="R40" s="727" t="str">
        <f>IF($N$21="木村・井上式（1988）",IF($R$36&lt;&gt;"-",IF(Calculation!$H$97*0.25&lt;$C$21/1000/4,Calculation!$H$97*0.25,$C$21/1000/4),"-"),"-")</f>
        <v>-</v>
      </c>
      <c r="S40" s="648"/>
      <c r="T40" s="639"/>
      <c r="U40" s="639"/>
      <c r="V40" s="639"/>
      <c r="W40" s="639"/>
      <c r="X40" s="639"/>
      <c r="Y40" s="639"/>
      <c r="Z40" s="639"/>
      <c r="AA40" s="639"/>
      <c r="AB40" s="639"/>
      <c r="AC40" s="639"/>
      <c r="AD40" s="640"/>
    </row>
    <row r="41" spans="1:30" ht="14.25" customHeight="1" x14ac:dyDescent="0.2">
      <c r="A41" s="897" t="s">
        <v>540</v>
      </c>
      <c r="B41" s="898"/>
      <c r="C41" s="898"/>
      <c r="D41" s="898"/>
      <c r="E41" s="898"/>
      <c r="F41" s="899"/>
      <c r="G41" s="801" t="s">
        <v>14</v>
      </c>
      <c r="H41" s="802"/>
      <c r="I41" s="803"/>
      <c r="J41" s="732">
        <f>IF(J37&lt;&gt;"",IF(J37&lt;&gt;"-",IF((0.0057*20*LOG10(J37)+0.16)*Calculation!$I$97&lt;$C$21/1000/2,(0.0057*20*LOG10(J37)+0.16)*Calculation!$I$97,$C$21/1000/2),"-"),"")</f>
        <v>0.2910346068845911</v>
      </c>
      <c r="K41" s="732" t="str">
        <f>IF(K37&lt;&gt;"",IF(K37&lt;&gt;"-",IF((0.0057*20*LOG10(K37)+0.16)*Calculation!$I$97&lt;$C$21/1000/2,(0.0057*20*LOG10(K37)+0.16)*Calculation!$I$97,$C$21/1000/2),"-"),"")</f>
        <v>-</v>
      </c>
      <c r="L41" s="732" t="str">
        <f>IF(L37&lt;&gt;"",IF(L37&lt;&gt;"-",IF((0.0057*20*LOG10(L37)+0.16)*Calculation!$I$97&lt;$C$21/1000/2,(0.0057*20*LOG10(L37)+0.16)*Calculation!$I$97,$C$21/1000/2),"-"),"")</f>
        <v>-</v>
      </c>
      <c r="M41" s="733" t="str">
        <f>IF(M37&lt;&gt;"",IF(M37&lt;&gt;"-",IF((0.0057*20*LOG10(M37)+0.16)*Calculation!$I$97&lt;$C$21/1000/2,(0.0057*20*LOG10(M37)+0.16)*Calculation!$I$97,$C$21/1000/2),"-"),"")</f>
        <v>-</v>
      </c>
      <c r="N41" s="734" t="str">
        <f>IF(N37&lt;&gt;"",IF(N37&lt;&gt;"-",IF((0.0057*20*LOG10(N37)+0.16)*Calculation!$I$97&lt;$C$21/1000/2,(0.0057*20*LOG10(N37)+0.16)*Calculation!$I$97,$C$21/1000/2),"-"),"")</f>
        <v/>
      </c>
      <c r="O41" s="732">
        <f>IF($N$21&lt;&gt;"木村・井上式（1988）",IF($O$36&lt;&gt;"-",IF(Calculation!$I$97*0.175&lt;$C$21/1000/2,Calculation!$I$97*0.175,$C$21/1000/2),"-"),"-")</f>
        <v>0.22939462371125025</v>
      </c>
      <c r="P41" s="732">
        <f>IF($N$21&lt;&gt;"木村・井上式（1988）",IF($P$36&lt;&gt;"-",IF(Calculation!$I$97*0.117&lt;$C$21/1000/2,Calculation!$I$97*0.117,$C$21/1000/2),"-"),"-")</f>
        <v>0.1533666912812359</v>
      </c>
      <c r="Q41" s="732" t="str">
        <f>IF($N$21="木村・井上式（1988）",IF($Q$36&lt;&gt;"-",IF(Calculation!$I$97*0.25&lt;$C$21/1000/4,Calculation!$I$97*0.25,$C$21/1000/4),"-"),"-")</f>
        <v>-</v>
      </c>
      <c r="R41" s="735" t="str">
        <f>IF($N$21="木村・井上式（1988）",IF($R$36&lt;&gt;"-",IF(Calculation!$I$97*0.25&lt;$C$21/1000/4,Calculation!$I$97*0.25,$C$21/1000/4),"-"),"-")</f>
        <v>-</v>
      </c>
      <c r="S41" s="648"/>
      <c r="T41" s="649"/>
      <c r="U41" s="649"/>
      <c r="V41" s="649"/>
      <c r="W41" s="649"/>
      <c r="X41" s="649"/>
      <c r="Y41" s="649"/>
      <c r="Z41" s="649"/>
      <c r="AA41" s="649"/>
      <c r="AB41" s="649"/>
      <c r="AC41" s="649"/>
      <c r="AD41" s="650"/>
    </row>
    <row r="42" spans="1:30" s="3" customFormat="1" ht="14.25" customHeight="1" x14ac:dyDescent="0.2">
      <c r="A42" s="900" t="s">
        <v>543</v>
      </c>
      <c r="B42" s="901"/>
      <c r="C42" s="901"/>
      <c r="D42" s="901"/>
      <c r="E42" s="901"/>
      <c r="F42" s="902"/>
      <c r="G42" s="812" t="s">
        <v>466</v>
      </c>
      <c r="H42" s="812"/>
      <c r="I42" s="812"/>
      <c r="J42" s="812"/>
      <c r="K42" s="812"/>
      <c r="L42" s="812"/>
      <c r="M42" s="812"/>
      <c r="N42" s="812"/>
      <c r="O42" s="812"/>
      <c r="P42" s="812"/>
      <c r="Q42" s="812"/>
      <c r="R42" s="813"/>
      <c r="S42" s="651"/>
      <c r="T42" s="639"/>
      <c r="U42" s="639"/>
      <c r="V42" s="639"/>
      <c r="W42" s="639"/>
      <c r="X42" s="639"/>
      <c r="Y42" s="639"/>
      <c r="Z42" s="639"/>
      <c r="AA42" s="639"/>
      <c r="AB42" s="639"/>
      <c r="AC42" s="639"/>
      <c r="AD42" s="640"/>
    </row>
    <row r="43" spans="1:30" s="3" customFormat="1" ht="14.25" customHeight="1" x14ac:dyDescent="0.2">
      <c r="A43" s="900" t="s">
        <v>544</v>
      </c>
      <c r="B43" s="901"/>
      <c r="C43" s="901"/>
      <c r="D43" s="901"/>
      <c r="E43" s="901"/>
      <c r="F43" s="902"/>
      <c r="G43" s="789" t="s">
        <v>560</v>
      </c>
      <c r="H43" s="790"/>
      <c r="I43" s="791"/>
      <c r="J43" s="740" t="str">
        <f>IF($N$21="大脇・山下式2021",Calculation!L206,"-")</f>
        <v>a</v>
      </c>
      <c r="K43" s="740" t="str">
        <f>IF($N$21="大脇・山下式2021",Calculation!M206,"-")</f>
        <v>-</v>
      </c>
      <c r="L43" s="740" t="str">
        <f>IF($N$21="大脇・山下式2021",Calculation!N206,"-")</f>
        <v>-</v>
      </c>
      <c r="M43" s="741" t="str">
        <f>IF($N$21="大脇・山下式2021",Calculation!O206,"-")</f>
        <v>-</v>
      </c>
      <c r="N43" s="744" t="s">
        <v>539</v>
      </c>
      <c r="O43" s="821" t="str">
        <f>IF($N$21="大脇・山下式2021","e","-")</f>
        <v>e</v>
      </c>
      <c r="P43" s="821" t="str">
        <f>IF($N$21="大脇・山下式2021","ｆ","-")</f>
        <v>ｆ</v>
      </c>
      <c r="Q43" s="823" t="str">
        <f>IF($N$21="木村・井上式（1988）","g","-")</f>
        <v>-</v>
      </c>
      <c r="R43" s="820" t="str">
        <f>IF($N$21="木村・井上式（1988）","h","-")</f>
        <v>-</v>
      </c>
      <c r="S43" s="652"/>
      <c r="T43" s="639"/>
      <c r="U43" s="639"/>
      <c r="V43" s="639"/>
      <c r="W43" s="639"/>
      <c r="X43" s="639"/>
      <c r="Y43" s="639"/>
      <c r="Z43" s="639"/>
      <c r="AA43" s="639"/>
      <c r="AB43" s="639"/>
      <c r="AC43" s="639"/>
      <c r="AD43" s="640"/>
    </row>
    <row r="44" spans="1:30" s="3" customFormat="1" ht="14.25" customHeight="1" x14ac:dyDescent="0.2">
      <c r="A44" s="786" t="s">
        <v>545</v>
      </c>
      <c r="B44" s="787"/>
      <c r="C44" s="787"/>
      <c r="D44" s="787"/>
      <c r="E44" s="787"/>
      <c r="F44" s="788"/>
      <c r="G44" s="804"/>
      <c r="H44" s="805"/>
      <c r="I44" s="806"/>
      <c r="J44" s="411">
        <f>IF($N$21="大脇・山下式2021",Calculation!L207,"-")</f>
        <v>3.5</v>
      </c>
      <c r="K44" s="411" t="str">
        <f>IF($N$21="大脇・山下式2021",Calculation!M207,"-")</f>
        <v>-</v>
      </c>
      <c r="L44" s="411" t="str">
        <f>IF($N$21="大脇・山下式2021",Calculation!N207,"-")</f>
        <v>-</v>
      </c>
      <c r="M44" s="412" t="str">
        <f>IF($N$21="大脇・山下式2021",Calculation!O207,"-")</f>
        <v>-</v>
      </c>
      <c r="N44" s="743"/>
      <c r="O44" s="822"/>
      <c r="P44" s="822"/>
      <c r="Q44" s="823"/>
      <c r="R44" s="820"/>
      <c r="S44" s="652"/>
      <c r="T44" s="639"/>
      <c r="U44" s="639"/>
      <c r="V44" s="639"/>
      <c r="W44" s="639"/>
      <c r="X44" s="639"/>
      <c r="Y44" s="639"/>
      <c r="Z44" s="639"/>
      <c r="AA44" s="639"/>
      <c r="AB44" s="639"/>
      <c r="AC44" s="639"/>
      <c r="AD44" s="640"/>
    </row>
    <row r="45" spans="1:30" s="3" customFormat="1" ht="14.25" customHeight="1" x14ac:dyDescent="0.2">
      <c r="A45" s="786" t="s">
        <v>554</v>
      </c>
      <c r="B45" s="787"/>
      <c r="C45" s="787"/>
      <c r="D45" s="787"/>
      <c r="E45" s="787"/>
      <c r="F45" s="788"/>
      <c r="G45" s="795" t="s">
        <v>50</v>
      </c>
      <c r="H45" s="796"/>
      <c r="I45" s="797"/>
      <c r="J45" s="724">
        <f>IF(J44&lt;&gt;"",IF(J44&lt;&gt;"-",IF((0.0057*20*LOG10(J44)+0.16)*Calculation!$F$97&lt;$C$22/1000/2,(0.0057*20*LOG10(J44)+0.16)*Calculation!$F$97,$C$22/1000/2),"-"),"")</f>
        <v>0.81989712093917788</v>
      </c>
      <c r="K45" s="724" t="str">
        <f>IF(K44&lt;&gt;"",IF(K44&lt;&gt;"-",IF((0.0057*20*LOG10(K44)+0.16)*Calculation!$F$97&lt;$C$22/1000/2,(0.0057*20*LOG10(K44)+0.16)*Calculation!$F$97,$C$22/1000/2),"-"),"")</f>
        <v>-</v>
      </c>
      <c r="L45" s="724" t="str">
        <f>IF(L44&lt;&gt;"",IF(L44&lt;&gt;"-",IF((0.0057*20*LOG10(L44)+0.16)*Calculation!$F$97&lt;$C$22/1000/2,(0.0057*20*LOG10(L44)+0.16)*Calculation!$F$97,$C$22/1000/2),"-"),"")</f>
        <v>-</v>
      </c>
      <c r="M45" s="725" t="str">
        <f>IF(M44&lt;&gt;"",IF(M44&lt;&gt;"-",IF((0.0057*20*LOG10(M44)+0.16)*Calculation!$F$97&lt;$C$22/1000/2,(0.0057*20*LOG10(M44)+0.16)*Calculation!$F$97,$C$22/1000/2),"-"),"")</f>
        <v>-</v>
      </c>
      <c r="N45" s="726" t="str">
        <f>IF(N44&lt;&gt;"",IF(N44&lt;&gt;"-",IF((0.0057*20*LOG10(N44)+0.16)*Calculation!$F$97&lt;$C$22/1000/2,(0.0057*20*LOG10(N44)+0.16)*Calculation!$F$97,$C$22/1000/2),"-"),"")</f>
        <v/>
      </c>
      <c r="O45" s="724">
        <f>IF($N$21&lt;&gt;"木村・井上式（1988）",IF($O$43&lt;&gt;"-",IF(Calculation!$F$97*0.175&lt;$C$22/1000/2,Calculation!$F$97*0.175,$C$22/1000/2),"-"),"-")</f>
        <v>0.64624614080470066</v>
      </c>
      <c r="P45" s="724">
        <f>IF($N$21&lt;&gt;"木村・井上式（1988）",IF($P$43&lt;&gt;"-",IF(Calculation!$F$97*0.117&lt;$C$22/1000/2,Calculation!$F$97*0.117,$C$22/1000/2),"-"),"-")</f>
        <v>0.43206170556657131</v>
      </c>
      <c r="Q45" s="724" t="str">
        <f>IF($N$21="木村・井上式（1988）",IF($Q$43&lt;&gt;"-",IF(Calculation!$F$97*0.25&lt;$C$22/1000/4,Calculation!$F$97*0.25,$C$22/1000/4),"-"),"-")</f>
        <v>-</v>
      </c>
      <c r="R45" s="727" t="str">
        <f>IF($N$21="木村・井上式（1988）",IF($R$43&lt;&gt;"-",IF(Calculation!$F$97*0.25&lt;$C$22/1000/4,Calculation!$F$97*0.25,$C$22/1000/4),"-"),"-")</f>
        <v>-</v>
      </c>
      <c r="S45" s="648"/>
      <c r="T45" s="639"/>
      <c r="U45" s="639"/>
      <c r="V45" s="639"/>
      <c r="W45" s="639"/>
      <c r="X45" s="639"/>
      <c r="Y45" s="639"/>
      <c r="Z45" s="639"/>
      <c r="AA45" s="639"/>
      <c r="AB45" s="639"/>
      <c r="AC45" s="639"/>
      <c r="AD45" s="640"/>
    </row>
    <row r="46" spans="1:30" s="3" customFormat="1" ht="14.25" customHeight="1" x14ac:dyDescent="0.2">
      <c r="A46" s="900" t="s">
        <v>587</v>
      </c>
      <c r="B46" s="901"/>
      <c r="C46" s="901"/>
      <c r="D46" s="901"/>
      <c r="E46" s="901"/>
      <c r="F46" s="902"/>
      <c r="G46" s="798" t="s">
        <v>51</v>
      </c>
      <c r="H46" s="799"/>
      <c r="I46" s="800"/>
      <c r="J46" s="724">
        <f>IF(J44&lt;&gt;"",IF(J44&lt;&gt;"-",IF((0.0057*20*LOG10(J44)+0.16)*Calculation!$G$97&lt;$C$22/1000/2,(0.0057*20*LOG10(J44)+0.16)*Calculation!$G$97,$C$22/1000/2),"-"),"")</f>
        <v>0.58206921376918219</v>
      </c>
      <c r="K46" s="724" t="str">
        <f>IF(K44&lt;&gt;"",IF(K44&lt;&gt;"-",IF((0.0057*20*LOG10(K44)+0.16)*Calculation!$G$97&lt;$C$22/1000/2,(0.0057*20*LOG10(K44)+0.16)*Calculation!$G$97,$C$22/1000/2),"-"),"")</f>
        <v>-</v>
      </c>
      <c r="L46" s="724" t="str">
        <f>IF(L44&lt;&gt;"",IF(L44&lt;&gt;"-",IF((0.0057*20*LOG10(L44)+0.16)*Calculation!$G$97&lt;$C$22/1000/2,(0.0057*20*LOG10(L44)+0.16)*Calculation!$G$97,$C$22/1000/2),"-"),"")</f>
        <v>-</v>
      </c>
      <c r="M46" s="725" t="str">
        <f>IF(M44&lt;&gt;"",IF(M44&lt;&gt;"-",IF((0.0057*20*LOG10(M44)+0.16)*Calculation!$G$97&lt;$C$22/1000/2,(0.0057*20*LOG10(M44)+0.16)*Calculation!$G$97,$C$22/1000/2),"-"),"")</f>
        <v>-</v>
      </c>
      <c r="N46" s="726" t="str">
        <f>IF(N44&lt;&gt;"",IF(N44&lt;&gt;"-",IF((0.0057*20*LOG10(N44)+0.16)*Calculation!$G$97&lt;$C$22/1000/2,(0.0057*20*LOG10(N44)+0.16)*Calculation!$G$97,$C$22/1000/2),"-"),"")</f>
        <v/>
      </c>
      <c r="O46" s="724">
        <f>IF($N$21&lt;&gt;"木村・井上式（1988）",IF($O$43&lt;&gt;"-",IF(Calculation!$G$97*0.175&lt;$C$22/1000/2,Calculation!$G$97*0.175,$C$22/1000/2),"-"),"-")</f>
        <v>0.45878924742250049</v>
      </c>
      <c r="P46" s="724">
        <f>IF($N$21&lt;&gt;"木村・井上式（1988）",IF($P$43&lt;&gt;"-",IF(Calculation!$G$97*0.117&lt;$C$22/1000/2,Calculation!$G$97*0.117,$C$22/1000/2),"-"),"-")</f>
        <v>0.30673338256247179</v>
      </c>
      <c r="Q46" s="724" t="str">
        <f>IF($N$21="木村・井上式（1988）",IF($Q$43&lt;&gt;"-",IF(Calculation!$G$97*0.25&lt;$C$22/1000/4,Calculation!$G$97*0.25,$C$22/1000/4),"-"),"-")</f>
        <v>-</v>
      </c>
      <c r="R46" s="727" t="str">
        <f>IF($N$21="木村・井上式（1988）",IF($R$43&lt;&gt;"-",IF(Calculation!$G$97*0.25&lt;$C$22/1000/4,Calculation!$G$97*0.25,$C$22/1000/4),"-"),"-")</f>
        <v>-</v>
      </c>
      <c r="S46" s="648"/>
      <c r="T46" s="639"/>
      <c r="U46" s="639"/>
      <c r="V46" s="639"/>
      <c r="W46" s="639"/>
      <c r="X46" s="639"/>
      <c r="Y46" s="639"/>
      <c r="Z46" s="639"/>
      <c r="AA46" s="639"/>
      <c r="AB46" s="639"/>
      <c r="AC46" s="639"/>
      <c r="AD46" s="640"/>
    </row>
    <row r="47" spans="1:30" s="3" customFormat="1" ht="14.25" customHeight="1" x14ac:dyDescent="0.2">
      <c r="A47" s="900" t="s">
        <v>588</v>
      </c>
      <c r="B47" s="901"/>
      <c r="C47" s="901"/>
      <c r="D47" s="901"/>
      <c r="E47" s="901"/>
      <c r="F47" s="902"/>
      <c r="G47" s="798" t="s">
        <v>52</v>
      </c>
      <c r="H47" s="799"/>
      <c r="I47" s="800"/>
      <c r="J47" s="724">
        <f>IF(J44&lt;&gt;"",IF(J44&lt;&gt;"-",IF((0.0057*20*LOG10(J44)+0.16)*Calculation!$H$97&lt;$C$22/1000/2,(0.0057*20*LOG10(J44)+0.16)*Calculation!$H$97,$C$22/1000/2),"-"),"")</f>
        <v>0.41158508817611084</v>
      </c>
      <c r="K47" s="724" t="str">
        <f>IF(K44&lt;&gt;"",IF(K44&lt;&gt;"-",IF((0.0057*20*LOG10(K44)+0.16)*Calculation!$H$97&lt;$C$22/1000/2,(0.0057*20*LOG10(K44)+0.16)*Calculation!$H$97,$C$22/1000/2),"-"),"")</f>
        <v>-</v>
      </c>
      <c r="L47" s="724" t="str">
        <f>IF(L44&lt;&gt;"",IF(L44&lt;&gt;"-",IF((0.0057*20*LOG10(L44)+0.16)*Calculation!$H$97&lt;$C$22/1000/2,(0.0057*20*LOG10(L44)+0.16)*Calculation!$H$97,$C$22/1000/2),"-"),"")</f>
        <v>-</v>
      </c>
      <c r="M47" s="725" t="str">
        <f>IF(M44&lt;&gt;"",IF(M44&lt;&gt;"-",IF((0.0057*20*LOG10(M44)+0.16)*Calculation!$H$97&lt;$C$22/1000/2,(0.0057*20*LOG10(M44)+0.16)*Calculation!$H$97,$C$22/1000/2),"-"),"")</f>
        <v>-</v>
      </c>
      <c r="N47" s="726" t="str">
        <f>IF(N44&lt;&gt;"",IF(N44&lt;&gt;"-",IF((0.0057*20*LOG10(N44)+0.16)*Calculation!$H$97&lt;$C$22/1000/2,(0.0057*20*LOG10(N44)+0.16)*Calculation!$H$97,$C$22/1000/2),"-"),"")</f>
        <v/>
      </c>
      <c r="O47" s="724">
        <f>IF($N$21&lt;&gt;"木村・井上式（1988）",IF($O$43&lt;&gt;"-",IF(Calculation!$H$97*0.175&lt;$C$22/1000/2,Calculation!$H$97*0.175,$C$22/1000/2),"-"),"-")</f>
        <v>0.3244129879879229</v>
      </c>
      <c r="P47" s="724">
        <f>IF($N$21&lt;&gt;"木村・井上式（1988）",IF($P$43&lt;&gt;"-",IF(Calculation!$H$97*0.117&lt;$C$22/1000/2,Calculation!$H$97*0.117,$C$22/1000/2),"-"),"-")</f>
        <v>0.21689325482621133</v>
      </c>
      <c r="Q47" s="724" t="str">
        <f>IF($N$21="木村・井上式（1988）",IF($Q$43&lt;&gt;"-",IF(Calculation!$H$97*0.25&lt;$C$22/1000/4,Calculation!$H$97*0.25,$C$22/1000/4),"-"),"-")</f>
        <v>-</v>
      </c>
      <c r="R47" s="727" t="str">
        <f>IF($N$21="木村・井上式（1988）",IF($R$43&lt;&gt;"-",IF(Calculation!$H$97*0.25&lt;$C$22/1000/4,Calculation!$H$97*0.25,$C$22/1000/4),"-"),"-")</f>
        <v>-</v>
      </c>
      <c r="S47" s="648"/>
      <c r="T47" s="639"/>
      <c r="U47" s="639"/>
      <c r="V47" s="639"/>
      <c r="W47" s="639"/>
      <c r="X47" s="639"/>
      <c r="Y47" s="639"/>
      <c r="Z47" s="639"/>
      <c r="AA47" s="639"/>
      <c r="AB47" s="639"/>
      <c r="AC47" s="639"/>
      <c r="AD47" s="640"/>
    </row>
    <row r="48" spans="1:30" s="3" customFormat="1" ht="14.25" customHeight="1" x14ac:dyDescent="0.2">
      <c r="A48" s="392"/>
      <c r="B48" s="393"/>
      <c r="C48" s="393"/>
      <c r="D48" s="393"/>
      <c r="E48" s="393"/>
      <c r="F48" s="394"/>
      <c r="G48" s="801" t="s">
        <v>14</v>
      </c>
      <c r="H48" s="802"/>
      <c r="I48" s="803"/>
      <c r="J48" s="728">
        <f>IF(J44&lt;&gt;"",IF(J44&lt;&gt;"-",IF((0.0057*20*LOG10(J44)+0.16)*Calculation!$I$97&lt;$C$22/1000/2,(0.0057*20*LOG10(J44)+0.16)*Calculation!$I$97,$C$22/1000/2),"-"),"")</f>
        <v>0.2910346068845911</v>
      </c>
      <c r="K48" s="728" t="str">
        <f>IF(K44&lt;&gt;"",IF(K44&lt;&gt;"-",IF((0.0057*20*LOG10(K44)+0.16)*Calculation!$I$97&lt;$C$22/1000/2,(0.0057*20*LOG10(K44)+0.16)*Calculation!$I$97,$C$22/1000/2),"-"),"")</f>
        <v>-</v>
      </c>
      <c r="L48" s="728" t="str">
        <f>IF(L44&lt;&gt;"",IF(L44&lt;&gt;"-",IF((0.0057*20*LOG10(L44)+0.16)*Calculation!$I$97&lt;$C$22/1000/2,(0.0057*20*LOG10(L44)+0.16)*Calculation!$I$97,$C$22/1000/2),"-"),"")</f>
        <v>-</v>
      </c>
      <c r="M48" s="729" t="str">
        <f>IF(M44&lt;&gt;"",IF(M44&lt;&gt;"-",IF((0.0057*20*LOG10(M44)+0.16)*Calculation!$I$97&lt;$C$22/1000/2,(0.0057*20*LOG10(M44)+0.16)*Calculation!$I$97,$C$22/1000/2),"-"),"")</f>
        <v>-</v>
      </c>
      <c r="N48" s="730" t="str">
        <f>IF(N44&lt;&gt;"",IF(N44&lt;&gt;"-",IF((0.0057*20*LOG10(N44)+0.16)*Calculation!$I$97&lt;$C$22/1000/2,(0.0057*20*LOG10(N44)+0.16)*Calculation!$I$97,$C$22/1000/2),"-"),"")</f>
        <v/>
      </c>
      <c r="O48" s="728">
        <f>IF($N$21&lt;&gt;"木村・井上式（1988）",IF($O$43&lt;&gt;"-",IF(Calculation!$I$97*0.175&lt;$C$22/1000/2,Calculation!$I$97*0.175,$C$22/1000/2),"-"),"-")</f>
        <v>0.22939462371125025</v>
      </c>
      <c r="P48" s="728">
        <f>IF($N$21&lt;&gt;"木村・井上式（1988）",IF($P$43&lt;&gt;"-",IF(Calculation!$I$97*0.117&lt;$C$22/1000/2,Calculation!$I$97*0.117,$C$22/1000/2),"-"),"-")</f>
        <v>0.1533666912812359</v>
      </c>
      <c r="Q48" s="728" t="str">
        <f>IF($N$21="木村・井上式（1988）",IF($Q$43&lt;&gt;"-",IF(Calculation!$I$97*0.25&lt;$C$22/1000/4,Calculation!$I$97*0.25,$C$22/1000/4),"-"),"-")</f>
        <v>-</v>
      </c>
      <c r="R48" s="731" t="str">
        <f>IF($N$21="木村・井上式（1988）",IF($R$43&lt;&gt;"-",IF(Calculation!$I$97*0.25&lt;$C$22/1000/4,Calculation!$I$97*0.25,$C$22/1000/4),"-"),"-")</f>
        <v>-</v>
      </c>
      <c r="S48" s="648"/>
      <c r="T48" s="639"/>
      <c r="U48" s="639"/>
      <c r="V48" s="639"/>
      <c r="W48" s="639"/>
      <c r="X48" s="639"/>
      <c r="Y48" s="639"/>
      <c r="Z48" s="639"/>
      <c r="AA48" s="639"/>
      <c r="AB48" s="639"/>
      <c r="AC48" s="639"/>
      <c r="AD48" s="640"/>
    </row>
    <row r="49" spans="1:34" ht="14.25" customHeight="1" x14ac:dyDescent="0.2">
      <c r="A49" s="906" t="s">
        <v>612</v>
      </c>
      <c r="B49" s="907"/>
      <c r="C49" s="907"/>
      <c r="D49" s="907"/>
      <c r="E49" s="907"/>
      <c r="F49" s="907"/>
      <c r="G49" s="907"/>
      <c r="H49" s="907"/>
      <c r="I49" s="907"/>
      <c r="J49" s="907"/>
      <c r="K49" s="907"/>
      <c r="L49" s="907"/>
      <c r="M49" s="907"/>
      <c r="N49" s="907"/>
      <c r="O49" s="907"/>
      <c r="P49" s="907"/>
      <c r="Q49" s="907"/>
      <c r="R49" s="908"/>
      <c r="S49" s="653"/>
      <c r="T49" s="649"/>
      <c r="U49" s="649"/>
      <c r="V49" s="649"/>
      <c r="W49" s="649"/>
      <c r="X49" s="649"/>
      <c r="Y49" s="649"/>
      <c r="Z49" s="649"/>
      <c r="AA49" s="649"/>
      <c r="AB49" s="649"/>
      <c r="AC49" s="649"/>
      <c r="AD49" s="650"/>
    </row>
    <row r="50" spans="1:34" ht="19.5" customHeight="1" x14ac:dyDescent="0.2">
      <c r="A50" s="783" t="s">
        <v>405</v>
      </c>
      <c r="B50" s="784"/>
      <c r="C50" s="784"/>
      <c r="D50" s="784"/>
      <c r="E50" s="784"/>
      <c r="F50" s="784"/>
      <c r="G50" s="784"/>
      <c r="H50" s="784"/>
      <c r="I50" s="784"/>
      <c r="J50" s="784"/>
      <c r="K50" s="784"/>
      <c r="L50" s="784"/>
      <c r="M50" s="784"/>
      <c r="N50" s="784"/>
      <c r="O50" s="784"/>
      <c r="P50" s="784"/>
      <c r="Q50" s="784"/>
      <c r="R50" s="785"/>
      <c r="S50" s="654"/>
      <c r="T50" s="649"/>
      <c r="U50" s="649"/>
      <c r="V50" s="649"/>
      <c r="W50" s="649"/>
      <c r="X50" s="649"/>
      <c r="Y50" s="649"/>
      <c r="Z50" s="649"/>
      <c r="AA50" s="649"/>
      <c r="AB50" s="649"/>
      <c r="AC50" s="649"/>
      <c r="AD50" s="650"/>
    </row>
    <row r="51" spans="1:34" ht="14.25" customHeight="1" x14ac:dyDescent="0.15">
      <c r="A51" s="922" t="s">
        <v>44</v>
      </c>
      <c r="B51" s="805"/>
      <c r="C51" s="805"/>
      <c r="D51" s="722" t="s">
        <v>468</v>
      </c>
      <c r="E51" s="912">
        <v>1</v>
      </c>
      <c r="F51" s="913"/>
      <c r="G51" s="749" t="s">
        <v>45</v>
      </c>
      <c r="H51" s="749"/>
      <c r="I51" s="749"/>
      <c r="J51" s="749"/>
      <c r="K51" s="749" t="s">
        <v>46</v>
      </c>
      <c r="L51" s="749"/>
      <c r="M51" s="749"/>
      <c r="N51" s="749"/>
      <c r="O51" s="749" t="s">
        <v>47</v>
      </c>
      <c r="P51" s="749"/>
      <c r="Q51" s="749"/>
      <c r="R51" s="750"/>
      <c r="S51" s="655"/>
      <c r="T51" s="649"/>
      <c r="U51" s="649"/>
      <c r="V51" s="649"/>
      <c r="W51" s="649"/>
      <c r="X51" s="649"/>
      <c r="Y51" s="649"/>
      <c r="Z51" s="649"/>
      <c r="AA51" s="649"/>
      <c r="AB51" s="649"/>
      <c r="AC51" s="649"/>
      <c r="AD51" s="650"/>
    </row>
    <row r="52" spans="1:34" ht="14.25" customHeight="1" x14ac:dyDescent="0.2">
      <c r="A52" s="914" t="s">
        <v>555</v>
      </c>
      <c r="B52" s="915"/>
      <c r="C52" s="915"/>
      <c r="D52" s="915"/>
      <c r="E52" s="915"/>
      <c r="F52" s="915"/>
      <c r="G52" s="920">
        <v>20</v>
      </c>
      <c r="H52" s="921"/>
      <c r="I52" s="921"/>
      <c r="J52" s="387" t="s">
        <v>535</v>
      </c>
      <c r="K52" s="920">
        <v>25</v>
      </c>
      <c r="L52" s="921"/>
      <c r="M52" s="921"/>
      <c r="N52" s="382" t="s">
        <v>433</v>
      </c>
      <c r="O52" s="918">
        <v>2500</v>
      </c>
      <c r="P52" s="919"/>
      <c r="Q52" s="919"/>
      <c r="R52" s="381" t="s">
        <v>434</v>
      </c>
      <c r="S52" s="656"/>
      <c r="T52" s="649"/>
      <c r="U52" s="649"/>
      <c r="V52" s="649"/>
      <c r="W52" s="649"/>
      <c r="X52" s="649"/>
      <c r="Y52" s="649"/>
      <c r="Z52" s="649"/>
      <c r="AA52" s="649"/>
      <c r="AB52" s="649"/>
      <c r="AC52" s="649"/>
      <c r="AD52" s="650"/>
    </row>
    <row r="53" spans="1:34" ht="14.25" customHeight="1" x14ac:dyDescent="0.2">
      <c r="A53" s="914" t="s">
        <v>556</v>
      </c>
      <c r="B53" s="915"/>
      <c r="C53" s="915"/>
      <c r="D53" s="915"/>
      <c r="E53" s="915"/>
      <c r="F53" s="915"/>
      <c r="G53" s="923" t="s">
        <v>398</v>
      </c>
      <c r="H53" s="924"/>
      <c r="I53" s="924"/>
      <c r="J53" s="924"/>
      <c r="K53" s="924"/>
      <c r="L53" s="924"/>
      <c r="M53" s="924"/>
      <c r="N53" s="924"/>
      <c r="O53" s="924"/>
      <c r="P53" s="924"/>
      <c r="Q53" s="924"/>
      <c r="R53" s="925"/>
      <c r="S53" s="651"/>
      <c r="T53" s="649"/>
      <c r="U53" s="649"/>
      <c r="V53" s="649"/>
      <c r="W53" s="649"/>
      <c r="X53" s="649"/>
      <c r="Y53" s="649"/>
      <c r="Z53" s="649"/>
      <c r="AA53" s="649"/>
      <c r="AB53" s="649"/>
      <c r="AC53" s="649"/>
      <c r="AD53" s="650"/>
    </row>
    <row r="54" spans="1:34" ht="14.25" customHeight="1" x14ac:dyDescent="0.2">
      <c r="A54" s="914" t="s">
        <v>557</v>
      </c>
      <c r="B54" s="915"/>
      <c r="C54" s="915"/>
      <c r="D54" s="915"/>
      <c r="E54" s="915"/>
      <c r="F54" s="915"/>
      <c r="G54" s="927" t="s">
        <v>399</v>
      </c>
      <c r="H54" s="910"/>
      <c r="I54" s="910" t="s">
        <v>400</v>
      </c>
      <c r="J54" s="910"/>
      <c r="K54" s="910" t="s">
        <v>401</v>
      </c>
      <c r="L54" s="910"/>
      <c r="M54" s="910" t="s">
        <v>402</v>
      </c>
      <c r="N54" s="910"/>
      <c r="O54" s="910" t="s">
        <v>403</v>
      </c>
      <c r="P54" s="910"/>
      <c r="Q54" s="910" t="s">
        <v>404</v>
      </c>
      <c r="R54" s="911"/>
      <c r="S54" s="657"/>
      <c r="T54" s="649"/>
      <c r="U54" s="649"/>
      <c r="V54" s="649"/>
      <c r="W54" s="649"/>
      <c r="X54" s="649"/>
      <c r="Y54" s="649"/>
      <c r="Z54" s="649"/>
      <c r="AA54" s="649"/>
      <c r="AB54" s="649"/>
      <c r="AC54" s="649"/>
      <c r="AD54" s="650"/>
    </row>
    <row r="55" spans="1:34" ht="14.25" customHeight="1" x14ac:dyDescent="0.2">
      <c r="A55" s="916" t="s">
        <v>605</v>
      </c>
      <c r="B55" s="917"/>
      <c r="C55" s="917"/>
      <c r="D55" s="917"/>
      <c r="E55" s="917"/>
      <c r="F55" s="917"/>
      <c r="G55" s="909">
        <f>IF($N$21&lt;&gt;"",IF(Calculation!I237&lt;&gt;"-",Calculation!I237,"NG"),"-")</f>
        <v>0.09</v>
      </c>
      <c r="H55" s="905"/>
      <c r="I55" s="905">
        <f>IF($N$21&lt;&gt;"",IF(Calculation!J237&lt;&gt;"-",Calculation!J237,"NG"),"-")</f>
        <v>0.09</v>
      </c>
      <c r="J55" s="905"/>
      <c r="K55" s="905">
        <f>IF($N$21&lt;&gt;"",IF(Calculation!K237&lt;&gt;"-",Calculation!K237,"NG"),"-")</f>
        <v>0.08</v>
      </c>
      <c r="L55" s="905"/>
      <c r="M55" s="905">
        <f>IF($N$21&lt;&gt;"",IF(Calculation!L237&lt;&gt;"-",Calculation!L237,"NG"),"-")</f>
        <v>7.0000000000000007E-2</v>
      </c>
      <c r="N55" s="905"/>
      <c r="O55" s="905">
        <f>IF($N$21&lt;&gt;"",IF(Calculation!M237&lt;&gt;"-",Calculation!M237,"NG"),"-")</f>
        <v>7.0000000000000007E-2</v>
      </c>
      <c r="P55" s="905"/>
      <c r="Q55" s="905">
        <f>IF($N$21&lt;&gt;"",IF(Calculation!N237&lt;&gt;"-",Calculation!N237,"NG"),"-")</f>
        <v>0.08</v>
      </c>
      <c r="R55" s="926"/>
      <c r="S55" s="648"/>
      <c r="T55" s="649"/>
      <c r="U55" s="649"/>
      <c r="V55" s="649"/>
      <c r="W55" s="649"/>
      <c r="X55" s="649"/>
      <c r="Y55" s="649"/>
      <c r="Z55" s="649"/>
      <c r="AA55" s="649"/>
      <c r="AB55" s="219"/>
      <c r="AC55" s="219"/>
      <c r="AD55" s="742" t="s">
        <v>647</v>
      </c>
    </row>
    <row r="56" spans="1:34" ht="14.25" customHeight="1" thickBot="1" x14ac:dyDescent="0.25">
      <c r="A56" s="892" t="s">
        <v>559</v>
      </c>
      <c r="B56" s="893"/>
      <c r="C56" s="893"/>
      <c r="D56" s="893"/>
      <c r="E56" s="893"/>
      <c r="F56" s="893"/>
      <c r="G56" s="893"/>
      <c r="H56" s="893"/>
      <c r="I56" s="893"/>
      <c r="J56" s="893"/>
      <c r="K56" s="893"/>
      <c r="L56" s="893"/>
      <c r="M56" s="893"/>
      <c r="N56" s="893"/>
      <c r="O56" s="893"/>
      <c r="P56" s="893"/>
      <c r="Q56" s="893"/>
      <c r="R56" s="894"/>
      <c r="S56" s="660"/>
      <c r="T56" s="661"/>
      <c r="U56" s="661"/>
      <c r="V56" s="661"/>
      <c r="W56" s="661"/>
      <c r="X56" s="661"/>
      <c r="Y56" s="661"/>
      <c r="Z56" s="661"/>
      <c r="AA56" s="661"/>
      <c r="AB56" s="569"/>
      <c r="AC56" s="569"/>
      <c r="AD56" s="570"/>
    </row>
    <row r="57" spans="1:34" ht="14.25" customHeight="1" x14ac:dyDescent="0.2">
      <c r="S57" s="219"/>
    </row>
    <row r="58" spans="1:34" x14ac:dyDescent="0.2">
      <c r="S58" s="4"/>
    </row>
    <row r="59" spans="1:34" x14ac:dyDescent="0.2">
      <c r="AA59" s="467"/>
    </row>
    <row r="60" spans="1:34" ht="14.25" x14ac:dyDescent="0.2">
      <c r="AA60" s="467"/>
      <c r="AB60" s="3"/>
      <c r="AC60" s="3"/>
      <c r="AD60" s="3"/>
      <c r="AE60" s="3"/>
      <c r="AF60" s="3"/>
      <c r="AG60" s="3"/>
      <c r="AH60" s="3"/>
    </row>
    <row r="61" spans="1:34" ht="14.25" x14ac:dyDescent="0.2">
      <c r="AA61" s="218"/>
      <c r="AB61" s="3"/>
      <c r="AC61" s="3"/>
      <c r="AD61" s="3"/>
      <c r="AE61" s="3"/>
      <c r="AF61" s="3"/>
      <c r="AG61" s="3"/>
      <c r="AH61" s="3"/>
    </row>
    <row r="62" spans="1:34" ht="14.25" x14ac:dyDescent="0.2">
      <c r="AA62" s="218"/>
      <c r="AB62" s="3"/>
      <c r="AC62" s="3"/>
      <c r="AD62" s="3"/>
      <c r="AE62" s="3"/>
      <c r="AF62" s="3"/>
      <c r="AG62" s="3"/>
      <c r="AH62" s="3"/>
    </row>
    <row r="65" spans="7:53" ht="15" x14ac:dyDescent="0.25">
      <c r="G65" s="662"/>
      <c r="H65" s="662"/>
      <c r="I65" s="662"/>
      <c r="J65" s="662"/>
      <c r="K65" s="662"/>
      <c r="L65" s="662"/>
      <c r="M65" s="662"/>
      <c r="N65" s="662"/>
      <c r="O65" s="662"/>
      <c r="P65" s="662"/>
    </row>
    <row r="69" spans="7:53" ht="19.5" customHeight="1" x14ac:dyDescent="0.2"/>
    <row r="70" spans="7:53" ht="19.5" customHeight="1" x14ac:dyDescent="0.2"/>
    <row r="71" spans="7:53" ht="19.5" customHeight="1" x14ac:dyDescent="0.2"/>
    <row r="72" spans="7:53" ht="19.5" customHeight="1" x14ac:dyDescent="0.2"/>
    <row r="73" spans="7:53" ht="19.5" customHeight="1" x14ac:dyDescent="0.2">
      <c r="AC73" s="242"/>
      <c r="AD73" s="242"/>
      <c r="AF73" s="374"/>
      <c r="AG73" s="374"/>
      <c r="AH73" s="374"/>
    </row>
    <row r="74" spans="7:53" ht="14.25" x14ac:dyDescent="0.2">
      <c r="AH74" s="374"/>
      <c r="AI74" s="4"/>
      <c r="AK74" s="219"/>
      <c r="AL74" s="219"/>
      <c r="AM74" s="219"/>
      <c r="AN74" s="219"/>
      <c r="AO74" s="219"/>
      <c r="AP74" s="219"/>
      <c r="AQ74" s="219"/>
      <c r="AR74" s="219"/>
      <c r="AS74" s="219"/>
      <c r="AT74" s="219"/>
      <c r="AU74" s="219"/>
      <c r="AV74" s="219"/>
      <c r="AW74" s="219"/>
      <c r="AX74" s="219"/>
    </row>
    <row r="75" spans="7:53" x14ac:dyDescent="0.2">
      <c r="S75" s="391"/>
      <c r="AH75" s="4"/>
      <c r="AI75" s="4"/>
      <c r="AK75" s="219"/>
      <c r="AL75" s="219"/>
      <c r="AM75" s="219"/>
      <c r="AN75" s="219"/>
      <c r="AO75" s="219"/>
      <c r="AP75" s="219"/>
      <c r="AQ75" s="219"/>
      <c r="AR75" s="219"/>
      <c r="AS75" s="219"/>
      <c r="AT75" s="219"/>
      <c r="AU75" s="219"/>
      <c r="AV75" s="219"/>
      <c r="AW75" s="219"/>
      <c r="AX75" s="219"/>
      <c r="AY75" s="219"/>
      <c r="AZ75" s="219"/>
      <c r="BA75" s="219"/>
    </row>
    <row r="76" spans="7:53" ht="17.25" x14ac:dyDescent="0.2">
      <c r="AK76" s="443"/>
      <c r="AL76" s="443"/>
      <c r="AM76" s="443"/>
      <c r="AN76" s="443"/>
      <c r="AO76" s="443"/>
      <c r="AP76" s="443"/>
      <c r="AQ76" s="443"/>
      <c r="AR76" s="443"/>
      <c r="AS76" s="443"/>
      <c r="AT76" s="443"/>
      <c r="AU76" s="443"/>
      <c r="AV76" s="443"/>
      <c r="AW76" s="443"/>
      <c r="AX76" s="443"/>
      <c r="AY76" s="219"/>
      <c r="AZ76" s="219"/>
      <c r="BA76" s="219"/>
    </row>
    <row r="77" spans="7:53" ht="17.25" x14ac:dyDescent="0.2">
      <c r="AK77" s="446"/>
      <c r="AL77" s="446"/>
      <c r="AM77" s="446"/>
      <c r="AN77" s="446"/>
      <c r="AO77" s="446"/>
      <c r="AP77" s="446"/>
      <c r="AQ77" s="448"/>
      <c r="AR77" s="446"/>
      <c r="AS77" s="448"/>
      <c r="AT77" s="448"/>
      <c r="AU77" s="448"/>
      <c r="AV77" s="448"/>
      <c r="AW77" s="448"/>
      <c r="AX77" s="448"/>
      <c r="AY77" s="443"/>
      <c r="AZ77" s="443"/>
      <c r="BA77" s="443"/>
    </row>
    <row r="78" spans="7:53" ht="15" x14ac:dyDescent="0.2">
      <c r="AK78" s="459"/>
      <c r="AL78" s="459"/>
      <c r="AM78" s="459"/>
      <c r="AN78" s="372"/>
      <c r="AO78" s="372"/>
      <c r="AP78" s="372"/>
      <c r="AQ78" s="460"/>
      <c r="AR78" s="444"/>
      <c r="AS78" s="458"/>
      <c r="AT78" s="458"/>
      <c r="AU78" s="458"/>
      <c r="AV78" s="458"/>
      <c r="AW78" s="458"/>
      <c r="AX78" s="458"/>
      <c r="AY78" s="448"/>
      <c r="AZ78" s="448"/>
      <c r="BA78" s="448"/>
    </row>
    <row r="79" spans="7:53" ht="15" x14ac:dyDescent="0.2">
      <c r="AK79" s="447"/>
      <c r="AL79" s="447"/>
      <c r="AM79" s="447"/>
      <c r="AN79" s="372"/>
      <c r="AO79" s="372"/>
      <c r="AP79" s="372"/>
      <c r="AQ79" s="460"/>
      <c r="AR79" s="461"/>
      <c r="AS79" s="461"/>
      <c r="AT79" s="462"/>
      <c r="AU79" s="462"/>
      <c r="AV79" s="462"/>
      <c r="AW79" s="462"/>
      <c r="AX79" s="462"/>
      <c r="AY79" s="458"/>
      <c r="AZ79" s="458"/>
      <c r="BA79" s="458"/>
    </row>
    <row r="80" spans="7:53" ht="15" x14ac:dyDescent="0.2">
      <c r="AK80" s="447"/>
      <c r="AL80" s="447"/>
      <c r="AM80" s="447"/>
      <c r="AN80" s="372"/>
      <c r="AO80" s="372"/>
      <c r="AP80" s="372"/>
      <c r="AQ80" s="372"/>
      <c r="AR80" s="463"/>
      <c r="AS80" s="461"/>
      <c r="AT80" s="462"/>
      <c r="AU80" s="462"/>
      <c r="AV80" s="462"/>
      <c r="AW80" s="462"/>
      <c r="AX80" s="462"/>
      <c r="AY80" s="462"/>
      <c r="AZ80" s="241"/>
      <c r="BA80" s="462"/>
    </row>
    <row r="81" spans="4:53" ht="15" x14ac:dyDescent="0.2">
      <c r="AK81" s="447"/>
      <c r="AL81" s="447"/>
      <c r="AM81" s="447"/>
      <c r="AN81" s="372"/>
      <c r="AO81" s="372"/>
      <c r="AP81" s="372"/>
      <c r="AQ81" s="372"/>
      <c r="AR81" s="447"/>
      <c r="AS81" s="448"/>
      <c r="AT81" s="464"/>
      <c r="AU81" s="464"/>
      <c r="AV81" s="465"/>
      <c r="AW81" s="465"/>
      <c r="AX81" s="465"/>
      <c r="AY81" s="462"/>
      <c r="AZ81" s="241"/>
      <c r="BA81" s="462"/>
    </row>
    <row r="82" spans="4:53" ht="15" x14ac:dyDescent="0.2">
      <c r="AK82" s="447"/>
      <c r="AL82" s="447"/>
      <c r="AM82" s="447"/>
      <c r="AN82" s="372"/>
      <c r="AO82" s="372"/>
      <c r="AP82" s="372"/>
      <c r="AQ82" s="372"/>
      <c r="AR82" s="447"/>
      <c r="AS82" s="448"/>
      <c r="AT82" s="464"/>
      <c r="AU82" s="464"/>
      <c r="AV82" s="465"/>
      <c r="AW82" s="465"/>
      <c r="AX82" s="465"/>
      <c r="AY82" s="465"/>
      <c r="AZ82" s="465"/>
      <c r="BA82" s="465"/>
    </row>
    <row r="83" spans="4:53" x14ac:dyDescent="0.2">
      <c r="D83" s="4"/>
      <c r="E83" s="391"/>
      <c r="F83" s="391"/>
      <c r="AY83" s="465"/>
      <c r="AZ83" s="465"/>
      <c r="BA83" s="465"/>
    </row>
    <row r="84" spans="4:53" ht="14.25" x14ac:dyDescent="0.2">
      <c r="AK84" s="457"/>
      <c r="AL84" s="287"/>
      <c r="AM84" s="287"/>
      <c r="AN84" s="287"/>
      <c r="AO84" s="287"/>
      <c r="AP84" s="287"/>
      <c r="AQ84" s="458"/>
      <c r="AR84" s="447"/>
      <c r="AS84" s="448"/>
      <c r="AT84" s="464"/>
      <c r="AU84" s="464"/>
      <c r="AV84" s="465"/>
      <c r="AW84" s="465"/>
      <c r="AX84" s="465"/>
      <c r="AY84" s="465"/>
      <c r="AZ84" s="465"/>
      <c r="BA84" s="465"/>
    </row>
    <row r="85" spans="4:53" ht="14.25" x14ac:dyDescent="0.2">
      <c r="AK85" s="457"/>
      <c r="AL85" s="457"/>
      <c r="AM85" s="457"/>
      <c r="AN85" s="457"/>
      <c r="AO85" s="457"/>
      <c r="AP85" s="457"/>
      <c r="AQ85" s="458"/>
      <c r="AR85" s="447"/>
      <c r="AS85" s="448"/>
      <c r="AT85" s="464"/>
      <c r="AU85" s="464"/>
      <c r="AV85" s="465"/>
      <c r="AW85" s="465"/>
      <c r="AX85" s="465"/>
      <c r="AY85" s="465"/>
      <c r="AZ85" s="465"/>
      <c r="BA85" s="465"/>
    </row>
    <row r="86" spans="4:53" ht="13.5" x14ac:dyDescent="0.2">
      <c r="AK86" s="457"/>
      <c r="AL86" s="457"/>
      <c r="AM86" s="457"/>
      <c r="AN86" s="457"/>
      <c r="AO86" s="457"/>
      <c r="AP86" s="457"/>
      <c r="AQ86" s="458"/>
      <c r="AR86" s="444"/>
      <c r="AS86" s="458"/>
      <c r="AT86" s="458"/>
      <c r="AU86" s="458"/>
      <c r="AV86" s="458"/>
      <c r="AW86" s="458"/>
      <c r="AX86" s="458"/>
      <c r="AY86" s="458"/>
      <c r="AZ86" s="458"/>
      <c r="BA86" s="458"/>
    </row>
    <row r="87" spans="4:53" x14ac:dyDescent="0.2">
      <c r="AK87" s="457"/>
      <c r="AL87" s="457"/>
      <c r="AM87" s="457"/>
      <c r="AN87" s="457"/>
      <c r="AO87" s="457"/>
      <c r="AP87" s="457"/>
      <c r="AQ87" s="458"/>
      <c r="AR87" s="461"/>
      <c r="AS87" s="461"/>
      <c r="AT87" s="462"/>
      <c r="AU87" s="462"/>
      <c r="AV87" s="462"/>
      <c r="AW87" s="462"/>
      <c r="AX87" s="462"/>
      <c r="AY87" s="462"/>
      <c r="AZ87" s="462"/>
      <c r="BA87" s="462"/>
    </row>
    <row r="88" spans="4:53" x14ac:dyDescent="0.2">
      <c r="AY88" s="462"/>
      <c r="AZ88" s="462"/>
      <c r="BA88" s="462"/>
    </row>
    <row r="89" spans="4:53" x14ac:dyDescent="0.2">
      <c r="AY89" s="465"/>
      <c r="AZ89" s="465"/>
      <c r="BA89" s="465"/>
    </row>
    <row r="90" spans="4:53" x14ac:dyDescent="0.2">
      <c r="AY90" s="465"/>
      <c r="AZ90" s="465"/>
      <c r="BA90" s="465"/>
    </row>
    <row r="91" spans="4:53" x14ac:dyDescent="0.2">
      <c r="AY91" s="465"/>
      <c r="AZ91" s="465"/>
      <c r="BA91" s="465"/>
    </row>
    <row r="92" spans="4:53" x14ac:dyDescent="0.2">
      <c r="AY92" s="465"/>
      <c r="AZ92" s="465"/>
      <c r="BA92" s="465"/>
    </row>
    <row r="93" spans="4:53" ht="13.15" customHeight="1" x14ac:dyDescent="0.2">
      <c r="AY93" s="455"/>
      <c r="AZ93" s="455"/>
      <c r="BA93" s="455"/>
    </row>
    <row r="94" spans="4:53" ht="13.15" customHeight="1" x14ac:dyDescent="0.2"/>
    <row r="95" spans="4:53" ht="13.15" customHeight="1" x14ac:dyDescent="0.2">
      <c r="P95" s="4"/>
      <c r="Q95" s="4"/>
      <c r="R95" s="4"/>
    </row>
    <row r="96" spans="4:53" ht="13.15" customHeight="1" x14ac:dyDescent="0.2">
      <c r="P96" s="4"/>
      <c r="Q96" s="4"/>
      <c r="R96" s="4"/>
    </row>
    <row r="97" spans="16:18" ht="13.15" customHeight="1" x14ac:dyDescent="0.2">
      <c r="P97" s="4"/>
      <c r="Q97" s="4"/>
      <c r="R97" s="4"/>
    </row>
    <row r="98" spans="16:18" ht="13.15" customHeight="1" x14ac:dyDescent="0.2">
      <c r="P98" s="4"/>
      <c r="Q98" s="4"/>
      <c r="R98" s="4"/>
    </row>
    <row r="99" spans="16:18" ht="13.15" customHeight="1" x14ac:dyDescent="0.2">
      <c r="P99" s="4"/>
      <c r="Q99" s="4"/>
      <c r="R99" s="4"/>
    </row>
    <row r="100" spans="16:18" ht="13.15" customHeight="1" x14ac:dyDescent="0.2">
      <c r="P100" s="4"/>
      <c r="Q100" s="4"/>
      <c r="R100" s="4"/>
    </row>
    <row r="101" spans="16:18" ht="13.15" customHeight="1" x14ac:dyDescent="0.2">
      <c r="P101" s="4"/>
      <c r="Q101" s="4"/>
      <c r="R101" s="4"/>
    </row>
    <row r="102" spans="16:18" x14ac:dyDescent="0.2">
      <c r="P102" s="4"/>
      <c r="Q102" s="4"/>
      <c r="R102" s="4"/>
    </row>
    <row r="103" spans="16:18" x14ac:dyDescent="0.2">
      <c r="P103" s="4"/>
      <c r="Q103" s="4"/>
      <c r="R103" s="4"/>
    </row>
    <row r="104" spans="16:18" x14ac:dyDescent="0.2">
      <c r="P104" s="4"/>
      <c r="Q104" s="4"/>
      <c r="R104" s="4"/>
    </row>
    <row r="105" spans="16:18" x14ac:dyDescent="0.2">
      <c r="P105" s="4"/>
      <c r="Q105" s="4"/>
      <c r="R105" s="4"/>
    </row>
    <row r="106" spans="16:18" x14ac:dyDescent="0.2">
      <c r="P106" s="4"/>
      <c r="Q106" s="4"/>
      <c r="R106" s="4"/>
    </row>
    <row r="107" spans="16:18" x14ac:dyDescent="0.2">
      <c r="P107" s="4"/>
      <c r="Q107" s="4"/>
      <c r="R107" s="4"/>
    </row>
    <row r="108" spans="16:18" x14ac:dyDescent="0.2">
      <c r="P108" s="4"/>
      <c r="Q108" s="4"/>
      <c r="R108" s="4"/>
    </row>
    <row r="109" spans="16:18" x14ac:dyDescent="0.2">
      <c r="P109" s="4"/>
      <c r="Q109" s="4"/>
      <c r="R109" s="4"/>
    </row>
    <row r="110" spans="16:18" x14ac:dyDescent="0.2">
      <c r="P110" s="4"/>
      <c r="Q110" s="4"/>
      <c r="R110" s="4"/>
    </row>
    <row r="111" spans="16:18" x14ac:dyDescent="0.2">
      <c r="P111" s="4"/>
      <c r="Q111" s="4"/>
      <c r="R111" s="4"/>
    </row>
    <row r="112" spans="16:18" x14ac:dyDescent="0.2">
      <c r="P112" s="4"/>
      <c r="Q112" s="4"/>
      <c r="R112" s="4"/>
    </row>
    <row r="113" spans="16:18" x14ac:dyDescent="0.2">
      <c r="P113" s="4"/>
      <c r="Q113" s="4"/>
      <c r="R113" s="4"/>
    </row>
    <row r="114" spans="16:18" x14ac:dyDescent="0.2">
      <c r="P114" s="4"/>
      <c r="Q114" s="4"/>
      <c r="R114" s="4"/>
    </row>
    <row r="115" spans="16:18" x14ac:dyDescent="0.2">
      <c r="P115" s="4"/>
      <c r="Q115" s="4"/>
      <c r="R115" s="4"/>
    </row>
    <row r="116" spans="16:18" x14ac:dyDescent="0.2">
      <c r="P116" s="4"/>
      <c r="Q116" s="4"/>
      <c r="R116" s="4"/>
    </row>
    <row r="117" spans="16:18" x14ac:dyDescent="0.2">
      <c r="P117" s="4"/>
      <c r="Q117" s="4"/>
      <c r="R117" s="4"/>
    </row>
    <row r="118" spans="16:18" x14ac:dyDescent="0.2">
      <c r="P118" s="4"/>
      <c r="Q118" s="4"/>
      <c r="R118" s="4"/>
    </row>
    <row r="119" spans="16:18" x14ac:dyDescent="0.2">
      <c r="P119" s="4"/>
      <c r="Q119" s="4"/>
      <c r="R119" s="4"/>
    </row>
    <row r="120" spans="16:18" x14ac:dyDescent="0.2">
      <c r="P120" s="4"/>
      <c r="Q120" s="4"/>
      <c r="R120" s="4"/>
    </row>
    <row r="121" spans="16:18" x14ac:dyDescent="0.2">
      <c r="P121" s="4"/>
      <c r="Q121" s="4"/>
      <c r="R121" s="4"/>
    </row>
    <row r="122" spans="16:18" x14ac:dyDescent="0.2">
      <c r="P122" s="4"/>
      <c r="Q122" s="4"/>
      <c r="R122" s="4"/>
    </row>
    <row r="123" spans="16:18" x14ac:dyDescent="0.2">
      <c r="P123" s="4"/>
      <c r="Q123" s="4"/>
      <c r="R123" s="4"/>
    </row>
    <row r="124" spans="16:18" x14ac:dyDescent="0.2">
      <c r="P124" s="4"/>
      <c r="Q124" s="4"/>
      <c r="R124" s="4"/>
    </row>
    <row r="125" spans="16:18" x14ac:dyDescent="0.2">
      <c r="P125" s="4"/>
      <c r="Q125" s="4"/>
      <c r="R125" s="4"/>
    </row>
    <row r="126" spans="16:18" x14ac:dyDescent="0.2">
      <c r="P126" s="4"/>
      <c r="Q126" s="4"/>
      <c r="R126" s="4"/>
    </row>
    <row r="127" spans="16:18" x14ac:dyDescent="0.2">
      <c r="P127" s="4"/>
      <c r="Q127" s="4"/>
      <c r="R127" s="4"/>
    </row>
    <row r="128" spans="16:18" x14ac:dyDescent="0.2">
      <c r="P128" s="4"/>
      <c r="Q128" s="4"/>
      <c r="R128" s="4"/>
    </row>
    <row r="129" spans="16:18" x14ac:dyDescent="0.2">
      <c r="P129" s="4"/>
      <c r="Q129" s="4"/>
      <c r="R129" s="4"/>
    </row>
    <row r="130" spans="16:18" x14ac:dyDescent="0.2">
      <c r="P130" s="4"/>
      <c r="Q130" s="4"/>
      <c r="R130" s="4"/>
    </row>
    <row r="131" spans="16:18" x14ac:dyDescent="0.2">
      <c r="P131" s="4"/>
      <c r="Q131" s="4"/>
      <c r="R131" s="4"/>
    </row>
    <row r="132" spans="16:18" x14ac:dyDescent="0.2">
      <c r="P132" s="4"/>
      <c r="Q132" s="4"/>
      <c r="R132" s="4"/>
    </row>
    <row r="133" spans="16:18" x14ac:dyDescent="0.2">
      <c r="P133" s="4"/>
      <c r="Q133" s="4"/>
      <c r="R133" s="4"/>
    </row>
    <row r="134" spans="16:18" x14ac:dyDescent="0.2">
      <c r="P134" s="4"/>
      <c r="Q134" s="4"/>
      <c r="R134" s="4"/>
    </row>
    <row r="135" spans="16:18" x14ac:dyDescent="0.2">
      <c r="P135" s="4"/>
      <c r="Q135" s="4"/>
      <c r="R135" s="4"/>
    </row>
    <row r="136" spans="16:18" x14ac:dyDescent="0.2">
      <c r="P136" s="4"/>
      <c r="Q136" s="4"/>
      <c r="R136" s="4"/>
    </row>
    <row r="137" spans="16:18" x14ac:dyDescent="0.2">
      <c r="P137" s="4"/>
      <c r="Q137" s="4"/>
      <c r="R137" s="4"/>
    </row>
    <row r="138" spans="16:18" x14ac:dyDescent="0.2">
      <c r="P138" s="4"/>
      <c r="Q138" s="4"/>
      <c r="R138" s="4"/>
    </row>
    <row r="139" spans="16:18" x14ac:dyDescent="0.2">
      <c r="P139" s="4"/>
      <c r="Q139" s="4"/>
      <c r="R139" s="4"/>
    </row>
    <row r="140" spans="16:18" x14ac:dyDescent="0.2">
      <c r="P140" s="4"/>
      <c r="Q140" s="4"/>
      <c r="R140" s="4"/>
    </row>
  </sheetData>
  <sheetProtection password="F666" sheet="1" objects="1" scenarios="1"/>
  <mergeCells count="140">
    <mergeCell ref="Q54:R54"/>
    <mergeCell ref="O54:P54"/>
    <mergeCell ref="M54:N54"/>
    <mergeCell ref="E51:F51"/>
    <mergeCell ref="A52:F52"/>
    <mergeCell ref="A53:F53"/>
    <mergeCell ref="A54:F54"/>
    <mergeCell ref="A55:F55"/>
    <mergeCell ref="O52:Q52"/>
    <mergeCell ref="O51:R51"/>
    <mergeCell ref="K51:N51"/>
    <mergeCell ref="G51:J51"/>
    <mergeCell ref="G52:I52"/>
    <mergeCell ref="A51:C51"/>
    <mergeCell ref="G53:R53"/>
    <mergeCell ref="K52:M52"/>
    <mergeCell ref="Q55:R55"/>
    <mergeCell ref="K54:L54"/>
    <mergeCell ref="I54:J54"/>
    <mergeCell ref="G54:H54"/>
    <mergeCell ref="K55:L55"/>
    <mergeCell ref="A56:R56"/>
    <mergeCell ref="G35:R35"/>
    <mergeCell ref="O36:O37"/>
    <mergeCell ref="P36:P37"/>
    <mergeCell ref="Q36:Q37"/>
    <mergeCell ref="R36:R37"/>
    <mergeCell ref="A35:B35"/>
    <mergeCell ref="C35:F35"/>
    <mergeCell ref="A41:F41"/>
    <mergeCell ref="A44:F44"/>
    <mergeCell ref="A46:F46"/>
    <mergeCell ref="A42:F42"/>
    <mergeCell ref="A38:B38"/>
    <mergeCell ref="A43:F43"/>
    <mergeCell ref="A47:F47"/>
    <mergeCell ref="M55:N55"/>
    <mergeCell ref="O55:P55"/>
    <mergeCell ref="A49:R49"/>
    <mergeCell ref="A36:B36"/>
    <mergeCell ref="G55:H55"/>
    <mergeCell ref="I55:J55"/>
    <mergeCell ref="G46:I46"/>
    <mergeCell ref="G47:I47"/>
    <mergeCell ref="G48:I48"/>
    <mergeCell ref="A22:B22"/>
    <mergeCell ref="K19:L19"/>
    <mergeCell ref="AB1:AD1"/>
    <mergeCell ref="E3:R3"/>
    <mergeCell ref="E2:R2"/>
    <mergeCell ref="E4:R4"/>
    <mergeCell ref="A1:R1"/>
    <mergeCell ref="A12:R12"/>
    <mergeCell ref="A2:D2"/>
    <mergeCell ref="A3:D3"/>
    <mergeCell ref="A4:D4"/>
    <mergeCell ref="A5:R11"/>
    <mergeCell ref="A13:F13"/>
    <mergeCell ref="A14:F14"/>
    <mergeCell ref="H13:R13"/>
    <mergeCell ref="E15:F15"/>
    <mergeCell ref="E16:F16"/>
    <mergeCell ref="E17:F17"/>
    <mergeCell ref="A15:B15"/>
    <mergeCell ref="A16:B16"/>
    <mergeCell ref="A17:B17"/>
    <mergeCell ref="C15:D15"/>
    <mergeCell ref="C16:D16"/>
    <mergeCell ref="C17:D17"/>
    <mergeCell ref="A37:B37"/>
    <mergeCell ref="R43:R44"/>
    <mergeCell ref="O43:O44"/>
    <mergeCell ref="P43:P44"/>
    <mergeCell ref="C36:F36"/>
    <mergeCell ref="Q43:Q44"/>
    <mergeCell ref="A18:B18"/>
    <mergeCell ref="A19:B19"/>
    <mergeCell ref="C18:D18"/>
    <mergeCell ref="C19:D19"/>
    <mergeCell ref="F22:G22"/>
    <mergeCell ref="H24:M24"/>
    <mergeCell ref="N21:R21"/>
    <mergeCell ref="P22:R22"/>
    <mergeCell ref="C21:D21"/>
    <mergeCell ref="C22:D22"/>
    <mergeCell ref="F21:G21"/>
    <mergeCell ref="O24:R24"/>
    <mergeCell ref="B24:G24"/>
    <mergeCell ref="H21:I21"/>
    <mergeCell ref="E18:F18"/>
    <mergeCell ref="E19:F19"/>
    <mergeCell ref="A21:B21"/>
    <mergeCell ref="Q19:R19"/>
    <mergeCell ref="A20:R20"/>
    <mergeCell ref="A23:R23"/>
    <mergeCell ref="B25:C25"/>
    <mergeCell ref="G19:H19"/>
    <mergeCell ref="I19:J19"/>
    <mergeCell ref="M19:N19"/>
    <mergeCell ref="O19:P19"/>
    <mergeCell ref="A50:R50"/>
    <mergeCell ref="A45:F45"/>
    <mergeCell ref="G36:I36"/>
    <mergeCell ref="G37:I37"/>
    <mergeCell ref="G38:I38"/>
    <mergeCell ref="G39:I39"/>
    <mergeCell ref="G40:I40"/>
    <mergeCell ref="G41:I41"/>
    <mergeCell ref="G44:I44"/>
    <mergeCell ref="G43:I43"/>
    <mergeCell ref="G45:I45"/>
    <mergeCell ref="A39:F39"/>
    <mergeCell ref="C37:F37"/>
    <mergeCell ref="C38:F38"/>
    <mergeCell ref="G42:R42"/>
    <mergeCell ref="A40:F40"/>
    <mergeCell ref="A34:F34"/>
    <mergeCell ref="G34:R34"/>
    <mergeCell ref="A24:A25"/>
    <mergeCell ref="O25:R25"/>
    <mergeCell ref="B27:C27"/>
    <mergeCell ref="A33:R33"/>
    <mergeCell ref="O31:R31"/>
    <mergeCell ref="H25:I25"/>
    <mergeCell ref="B28:C28"/>
    <mergeCell ref="B29:C29"/>
    <mergeCell ref="B30:C30"/>
    <mergeCell ref="H26:I26"/>
    <mergeCell ref="H27:I27"/>
    <mergeCell ref="H28:I28"/>
    <mergeCell ref="H29:I29"/>
    <mergeCell ref="B26:C26"/>
    <mergeCell ref="A32:M32"/>
    <mergeCell ref="O28:R28"/>
    <mergeCell ref="O26:R26"/>
    <mergeCell ref="O27:R27"/>
    <mergeCell ref="H30:I30"/>
    <mergeCell ref="B31:M31"/>
    <mergeCell ref="O29:R29"/>
    <mergeCell ref="O30:R30"/>
  </mergeCells>
  <phoneticPr fontId="2"/>
  <conditionalFormatting sqref="N28:O30 A40:F44 A45 N24:O25 N26:R27 A52:F54">
    <cfRule type="expression" dxfId="3" priority="38">
      <formula>OR($N$21&lt;&gt;"大脇・山下式2021")</formula>
    </cfRule>
  </conditionalFormatting>
  <conditionalFormatting sqref="N31:O32 A47:F47 A46">
    <cfRule type="expression" dxfId="2" priority="44">
      <formula>OR($N$21&lt;&gt;"木村・井上式（1988）")</formula>
    </cfRule>
  </conditionalFormatting>
  <conditionalFormatting sqref="A55:F55">
    <cfRule type="expression" dxfId="1" priority="47">
      <formula>OR($N$21&lt;&gt;"木村・井上式（1988）")</formula>
    </cfRule>
    <cfRule type="expression" priority="48">
      <formula>OR($N$21&lt;&gt;"木村・井上式（1988）")</formula>
    </cfRule>
  </conditionalFormatting>
  <conditionalFormatting sqref="N36:N41 N43:N48">
    <cfRule type="expression" dxfId="0" priority="49">
      <formula>OR($N$21&lt;&gt;"大脇・山下式2021")</formula>
    </cfRule>
  </conditionalFormatting>
  <printOptions horizontalCentered="1" verticalCentered="1"/>
  <pageMargins left="0.35433070866141736" right="0.35433070866141736" top="0.39370078740157483" bottom="0.43307086614173229" header="0.31496062992125984" footer="0.51181102362204722"/>
  <pageSetup paperSize="9" scale="6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locked="0" defaultSize="0" autoFill="0" autoLine="0" autoPict="0">
                <anchor moveWithCells="1">
                  <from>
                    <xdr:col>7</xdr:col>
                    <xdr:colOff>28575</xdr:colOff>
                    <xdr:row>21</xdr:row>
                    <xdr:rowOff>9525</xdr:rowOff>
                  </from>
                  <to>
                    <xdr:col>7</xdr:col>
                    <xdr:colOff>390525</xdr:colOff>
                    <xdr:row>21</xdr:row>
                    <xdr:rowOff>152400</xdr:rowOff>
                  </to>
                </anchor>
              </controlPr>
            </control>
          </mc:Choice>
        </mc:AlternateContent>
        <mc:AlternateContent xmlns:mc="http://schemas.openxmlformats.org/markup-compatibility/2006">
          <mc:Choice Requires="x14">
            <control shapeId="1030" r:id="rId5" name="Option Button 6">
              <controlPr locked="0" defaultSize="0" autoFill="0" autoLine="0" autoPict="0">
                <anchor moveWithCells="1">
                  <from>
                    <xdr:col>8</xdr:col>
                    <xdr:colOff>38100</xdr:colOff>
                    <xdr:row>21</xdr:row>
                    <xdr:rowOff>9525</xdr:rowOff>
                  </from>
                  <to>
                    <xdr:col>8</xdr:col>
                    <xdr:colOff>400050</xdr:colOff>
                    <xdr:row>21</xdr:row>
                    <xdr:rowOff>152400</xdr:rowOff>
                  </to>
                </anchor>
              </controlPr>
            </control>
          </mc:Choice>
        </mc:AlternateContent>
        <mc:AlternateContent xmlns:mc="http://schemas.openxmlformats.org/markup-compatibility/2006">
          <mc:Choice Requires="x14">
            <control shapeId="1031" r:id="rId6" name="Option Button 7">
              <controlPr locked="0" defaultSize="0" autoFill="0" autoLine="0" autoPict="0">
                <anchor moveWithCells="1">
                  <from>
                    <xdr:col>9</xdr:col>
                    <xdr:colOff>38100</xdr:colOff>
                    <xdr:row>21</xdr:row>
                    <xdr:rowOff>9525</xdr:rowOff>
                  </from>
                  <to>
                    <xdr:col>9</xdr:col>
                    <xdr:colOff>400050</xdr:colOff>
                    <xdr:row>21</xdr:row>
                    <xdr:rowOff>152400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7"/>
  </sheetPr>
  <dimension ref="A2:K15"/>
  <sheetViews>
    <sheetView workbookViewId="0">
      <selection activeCell="O24" sqref="O24"/>
    </sheetView>
  </sheetViews>
  <sheetFormatPr defaultRowHeight="12.75" x14ac:dyDescent="0.2"/>
  <cols>
    <col min="2" max="2" width="3.5703125" customWidth="1"/>
    <col min="4" max="4" width="8.140625" customWidth="1"/>
    <col min="12" max="12" width="2.28515625" customWidth="1"/>
  </cols>
  <sheetData>
    <row r="2" spans="1:11" x14ac:dyDescent="0.2">
      <c r="E2">
        <v>63</v>
      </c>
      <c r="F2">
        <v>125</v>
      </c>
      <c r="G2">
        <v>250</v>
      </c>
      <c r="H2">
        <v>500</v>
      </c>
      <c r="I2">
        <v>1000</v>
      </c>
      <c r="J2">
        <v>2000</v>
      </c>
      <c r="K2">
        <v>4000</v>
      </c>
    </row>
    <row r="3" spans="1:11" x14ac:dyDescent="0.2">
      <c r="A3">
        <v>80</v>
      </c>
      <c r="C3" t="s">
        <v>312</v>
      </c>
      <c r="E3">
        <f>A3+23</f>
        <v>103</v>
      </c>
      <c r="F3">
        <f>A3+13</f>
        <v>93</v>
      </c>
      <c r="G3">
        <f>A3+6</f>
        <v>86</v>
      </c>
      <c r="H3">
        <f>A3</f>
        <v>80</v>
      </c>
      <c r="I3">
        <f>A3-3</f>
        <v>77</v>
      </c>
      <c r="J3">
        <f>A3-4</f>
        <v>76</v>
      </c>
      <c r="K3">
        <f>A3-4</f>
        <v>76</v>
      </c>
    </row>
    <row r="4" spans="1:11" x14ac:dyDescent="0.2">
      <c r="A4">
        <v>75</v>
      </c>
      <c r="C4" t="s">
        <v>313</v>
      </c>
      <c r="E4">
        <f t="shared" ref="E4:E13" si="0">A4+23</f>
        <v>98</v>
      </c>
      <c r="F4">
        <f t="shared" ref="F4:F13" si="1">A4+13</f>
        <v>88</v>
      </c>
      <c r="G4">
        <f t="shared" ref="G4:G13" si="2">A4+6</f>
        <v>81</v>
      </c>
      <c r="H4">
        <f t="shared" ref="H4:H13" si="3">A4</f>
        <v>75</v>
      </c>
      <c r="I4">
        <f t="shared" ref="I4:I13" si="4">A4-3</f>
        <v>72</v>
      </c>
      <c r="J4">
        <f t="shared" ref="J4:J13" si="5">A4-4</f>
        <v>71</v>
      </c>
      <c r="K4">
        <f t="shared" ref="K4:K13" si="6">A4-4</f>
        <v>71</v>
      </c>
    </row>
    <row r="5" spans="1:11" x14ac:dyDescent="0.2">
      <c r="A5">
        <v>70</v>
      </c>
      <c r="C5" t="s">
        <v>314</v>
      </c>
      <c r="E5">
        <f t="shared" si="0"/>
        <v>93</v>
      </c>
      <c r="F5">
        <f t="shared" si="1"/>
        <v>83</v>
      </c>
      <c r="G5">
        <f t="shared" si="2"/>
        <v>76</v>
      </c>
      <c r="H5">
        <f t="shared" si="3"/>
        <v>70</v>
      </c>
      <c r="I5">
        <f t="shared" si="4"/>
        <v>67</v>
      </c>
      <c r="J5">
        <f t="shared" si="5"/>
        <v>66</v>
      </c>
      <c r="K5">
        <f t="shared" si="6"/>
        <v>66</v>
      </c>
    </row>
    <row r="6" spans="1:11" x14ac:dyDescent="0.2">
      <c r="A6">
        <v>65</v>
      </c>
      <c r="C6" t="s">
        <v>315</v>
      </c>
      <c r="E6">
        <f t="shared" si="0"/>
        <v>88</v>
      </c>
      <c r="F6">
        <f t="shared" si="1"/>
        <v>78</v>
      </c>
      <c r="G6">
        <f t="shared" si="2"/>
        <v>71</v>
      </c>
      <c r="H6">
        <f t="shared" si="3"/>
        <v>65</v>
      </c>
      <c r="I6">
        <f t="shared" si="4"/>
        <v>62</v>
      </c>
      <c r="J6">
        <f t="shared" si="5"/>
        <v>61</v>
      </c>
      <c r="K6">
        <f t="shared" si="6"/>
        <v>61</v>
      </c>
    </row>
    <row r="7" spans="1:11" x14ac:dyDescent="0.2">
      <c r="A7">
        <v>60</v>
      </c>
      <c r="C7" t="s">
        <v>316</v>
      </c>
      <c r="E7">
        <f t="shared" si="0"/>
        <v>83</v>
      </c>
      <c r="F7">
        <f t="shared" si="1"/>
        <v>73</v>
      </c>
      <c r="G7">
        <f t="shared" si="2"/>
        <v>66</v>
      </c>
      <c r="H7">
        <f t="shared" si="3"/>
        <v>60</v>
      </c>
      <c r="I7">
        <f t="shared" si="4"/>
        <v>57</v>
      </c>
      <c r="J7">
        <f t="shared" si="5"/>
        <v>56</v>
      </c>
      <c r="K7">
        <f t="shared" si="6"/>
        <v>56</v>
      </c>
    </row>
    <row r="8" spans="1:11" x14ac:dyDescent="0.2">
      <c r="A8">
        <v>55</v>
      </c>
      <c r="C8" t="s">
        <v>317</v>
      </c>
      <c r="E8">
        <f t="shared" si="0"/>
        <v>78</v>
      </c>
      <c r="F8">
        <f t="shared" si="1"/>
        <v>68</v>
      </c>
      <c r="G8">
        <f t="shared" si="2"/>
        <v>61</v>
      </c>
      <c r="H8">
        <f t="shared" si="3"/>
        <v>55</v>
      </c>
      <c r="I8">
        <f t="shared" si="4"/>
        <v>52</v>
      </c>
      <c r="J8">
        <f t="shared" si="5"/>
        <v>51</v>
      </c>
      <c r="K8">
        <f t="shared" si="6"/>
        <v>51</v>
      </c>
    </row>
    <row r="9" spans="1:11" x14ac:dyDescent="0.2">
      <c r="A9">
        <v>50</v>
      </c>
      <c r="C9" t="s">
        <v>318</v>
      </c>
      <c r="E9">
        <f t="shared" si="0"/>
        <v>73</v>
      </c>
      <c r="F9">
        <f t="shared" si="1"/>
        <v>63</v>
      </c>
      <c r="G9">
        <f t="shared" si="2"/>
        <v>56</v>
      </c>
      <c r="H9">
        <f t="shared" si="3"/>
        <v>50</v>
      </c>
      <c r="I9">
        <f t="shared" si="4"/>
        <v>47</v>
      </c>
      <c r="J9">
        <f t="shared" si="5"/>
        <v>46</v>
      </c>
      <c r="K9">
        <f t="shared" si="6"/>
        <v>46</v>
      </c>
    </row>
    <row r="10" spans="1:11" x14ac:dyDescent="0.2">
      <c r="A10">
        <v>45</v>
      </c>
      <c r="C10" t="s">
        <v>319</v>
      </c>
      <c r="E10">
        <f t="shared" si="0"/>
        <v>68</v>
      </c>
      <c r="F10">
        <f t="shared" si="1"/>
        <v>58</v>
      </c>
      <c r="G10">
        <f t="shared" si="2"/>
        <v>51</v>
      </c>
      <c r="H10">
        <f t="shared" si="3"/>
        <v>45</v>
      </c>
      <c r="I10">
        <f t="shared" si="4"/>
        <v>42</v>
      </c>
      <c r="J10">
        <f t="shared" si="5"/>
        <v>41</v>
      </c>
      <c r="K10">
        <f t="shared" si="6"/>
        <v>41</v>
      </c>
    </row>
    <row r="11" spans="1:11" x14ac:dyDescent="0.2">
      <c r="A11">
        <v>40</v>
      </c>
      <c r="C11" t="s">
        <v>320</v>
      </c>
      <c r="E11">
        <f t="shared" si="0"/>
        <v>63</v>
      </c>
      <c r="F11">
        <f t="shared" si="1"/>
        <v>53</v>
      </c>
      <c r="G11">
        <f t="shared" si="2"/>
        <v>46</v>
      </c>
      <c r="H11">
        <f t="shared" si="3"/>
        <v>40</v>
      </c>
      <c r="I11">
        <f t="shared" si="4"/>
        <v>37</v>
      </c>
      <c r="J11">
        <f t="shared" si="5"/>
        <v>36</v>
      </c>
      <c r="K11">
        <f t="shared" si="6"/>
        <v>36</v>
      </c>
    </row>
    <row r="12" spans="1:11" x14ac:dyDescent="0.2">
      <c r="A12">
        <v>35</v>
      </c>
      <c r="C12" t="s">
        <v>321</v>
      </c>
      <c r="E12">
        <f t="shared" si="0"/>
        <v>58</v>
      </c>
      <c r="F12">
        <f t="shared" si="1"/>
        <v>48</v>
      </c>
      <c r="G12">
        <f t="shared" si="2"/>
        <v>41</v>
      </c>
      <c r="H12">
        <f t="shared" si="3"/>
        <v>35</v>
      </c>
      <c r="I12">
        <f t="shared" si="4"/>
        <v>32</v>
      </c>
      <c r="J12">
        <f t="shared" si="5"/>
        <v>31</v>
      </c>
      <c r="K12">
        <f t="shared" si="6"/>
        <v>31</v>
      </c>
    </row>
    <row r="13" spans="1:11" x14ac:dyDescent="0.2">
      <c r="A13">
        <v>30</v>
      </c>
      <c r="C13" t="s">
        <v>322</v>
      </c>
      <c r="E13">
        <f t="shared" si="0"/>
        <v>53</v>
      </c>
      <c r="F13">
        <f t="shared" si="1"/>
        <v>43</v>
      </c>
      <c r="G13">
        <f t="shared" si="2"/>
        <v>36</v>
      </c>
      <c r="H13">
        <f t="shared" si="3"/>
        <v>30</v>
      </c>
      <c r="I13">
        <f t="shared" si="4"/>
        <v>27</v>
      </c>
      <c r="J13">
        <f t="shared" si="5"/>
        <v>26</v>
      </c>
      <c r="K13">
        <f t="shared" si="6"/>
        <v>26</v>
      </c>
    </row>
    <row r="14" spans="1:11" x14ac:dyDescent="0.2">
      <c r="C14" s="10" t="s">
        <v>105</v>
      </c>
      <c r="D14" t="str">
        <f>'Result_重量床衝撃音 (31.5Hz)'!$F$43</f>
        <v/>
      </c>
      <c r="E14" s="146" t="str">
        <f>Result_重量床衝撃音!F43</f>
        <v>-</v>
      </c>
      <c r="F14" s="146" t="str">
        <f>Result_重量床衝撃音!H43</f>
        <v>-</v>
      </c>
      <c r="G14" s="146" t="str">
        <f>Result_重量床衝撃音!J43</f>
        <v>-</v>
      </c>
      <c r="H14" s="146" t="str">
        <f>Result_重量床衝撃音!L43</f>
        <v>-</v>
      </c>
      <c r="I14" s="146"/>
      <c r="J14" s="146"/>
      <c r="K14" s="146"/>
    </row>
    <row r="15" spans="1:11" x14ac:dyDescent="0.2">
      <c r="C15" s="10" t="s">
        <v>323</v>
      </c>
      <c r="E15" s="146"/>
      <c r="F15" s="146">
        <f>Result_軽量床衝撃音!G25</f>
        <v>66</v>
      </c>
      <c r="G15" s="146">
        <f>Result_軽量床衝撃音!J25</f>
        <v>70</v>
      </c>
      <c r="H15" s="146">
        <f>Result_軽量床衝撃音!M25</f>
        <v>72</v>
      </c>
      <c r="I15" s="146">
        <f>Result_軽量床衝撃音!P25</f>
        <v>73</v>
      </c>
      <c r="J15" s="146">
        <f>Result_軽量床衝撃音!S25</f>
        <v>74</v>
      </c>
      <c r="K15" s="146"/>
    </row>
  </sheetData>
  <sheetProtection password="D0A1" sheet="1" objects="1" scenarios="1"/>
  <phoneticPr fontId="2"/>
  <pageMargins left="0.75" right="0.75" top="1" bottom="1" header="0.51200000000000001" footer="0.51200000000000001"/>
  <headerFooter alignWithMargins="0"/>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10"/>
    <pageSetUpPr fitToPage="1"/>
  </sheetPr>
  <dimension ref="A1:AY87"/>
  <sheetViews>
    <sheetView zoomScaleNormal="75" workbookViewId="0">
      <selection activeCell="AL1" sqref="AC1:AL1048576"/>
    </sheetView>
  </sheetViews>
  <sheetFormatPr defaultColWidth="9" defaultRowHeight="13.5" x14ac:dyDescent="0.15"/>
  <cols>
    <col min="1" max="9" width="8.140625" style="47" customWidth="1"/>
    <col min="10" max="10" width="7.85546875" style="47" customWidth="1"/>
    <col min="11" max="25" width="8.140625" style="47" hidden="1" customWidth="1"/>
    <col min="26" max="29" width="8.140625" style="47" customWidth="1"/>
    <col min="30" max="36" width="8.140625" style="47" hidden="1" customWidth="1"/>
    <col min="37" max="38" width="8.140625" style="47" customWidth="1"/>
    <col min="39" max="39" width="9.85546875" style="47" customWidth="1"/>
    <col min="40" max="16384" width="9" style="47"/>
  </cols>
  <sheetData>
    <row r="1" spans="1:51" x14ac:dyDescent="0.15">
      <c r="A1" s="46" t="s">
        <v>262</v>
      </c>
    </row>
    <row r="2" spans="1:51" x14ac:dyDescent="0.15">
      <c r="A2" s="46"/>
    </row>
    <row r="3" spans="1:51" ht="14.25" x14ac:dyDescent="0.15">
      <c r="A3" s="48" t="s">
        <v>198</v>
      </c>
      <c r="F3" s="49" t="s">
        <v>263</v>
      </c>
      <c r="J3" s="50"/>
    </row>
    <row r="4" spans="1:51" x14ac:dyDescent="0.15">
      <c r="A4" s="46" t="s">
        <v>264</v>
      </c>
      <c r="F4" s="49"/>
      <c r="J4" s="50"/>
    </row>
    <row r="5" spans="1:51" ht="19.5" customHeight="1" thickBot="1" x14ac:dyDescent="0.2">
      <c r="B5" s="51"/>
      <c r="C5" s="51"/>
      <c r="D5" s="51"/>
      <c r="E5" s="51"/>
      <c r="G5" s="51"/>
      <c r="H5" s="51"/>
      <c r="I5" s="52"/>
      <c r="J5" s="53"/>
      <c r="K5" s="52"/>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row>
    <row r="6" spans="1:51" s="66" customFormat="1" ht="24.95" customHeight="1" x14ac:dyDescent="0.2">
      <c r="A6" s="54" t="s">
        <v>199</v>
      </c>
      <c r="B6" s="55" t="s">
        <v>200</v>
      </c>
      <c r="C6" s="55" t="s">
        <v>201</v>
      </c>
      <c r="D6" s="131" t="s">
        <v>202</v>
      </c>
      <c r="E6" s="131" t="s">
        <v>201</v>
      </c>
      <c r="F6" s="56" t="s">
        <v>203</v>
      </c>
      <c r="G6" s="57" t="s">
        <v>204</v>
      </c>
      <c r="H6" s="55" t="s">
        <v>205</v>
      </c>
      <c r="I6" s="55" t="s">
        <v>206</v>
      </c>
      <c r="J6" s="58" t="s">
        <v>207</v>
      </c>
      <c r="K6" s="59" t="s">
        <v>208</v>
      </c>
      <c r="L6" s="59" t="s">
        <v>209</v>
      </c>
      <c r="M6" s="59" t="s">
        <v>210</v>
      </c>
      <c r="N6" s="59" t="s">
        <v>211</v>
      </c>
      <c r="O6" s="59" t="s">
        <v>212</v>
      </c>
      <c r="P6" s="59" t="s">
        <v>213</v>
      </c>
      <c r="Q6" s="59" t="s">
        <v>214</v>
      </c>
      <c r="R6" s="59" t="s">
        <v>215</v>
      </c>
      <c r="S6" s="59" t="s">
        <v>216</v>
      </c>
      <c r="T6" s="59" t="s">
        <v>217</v>
      </c>
      <c r="U6" s="60" t="s">
        <v>218</v>
      </c>
      <c r="V6" s="59" t="s">
        <v>219</v>
      </c>
      <c r="W6" s="59" t="s">
        <v>220</v>
      </c>
      <c r="X6" s="59" t="s">
        <v>221</v>
      </c>
      <c r="Y6" s="59" t="s">
        <v>222</v>
      </c>
      <c r="Z6" s="61" t="s">
        <v>223</v>
      </c>
      <c r="AA6" s="61" t="s">
        <v>224</v>
      </c>
      <c r="AB6" s="61" t="s">
        <v>225</v>
      </c>
      <c r="AC6" s="62" t="s">
        <v>226</v>
      </c>
      <c r="AD6" s="63" t="s">
        <v>227</v>
      </c>
      <c r="AE6" s="63" t="s">
        <v>228</v>
      </c>
      <c r="AF6" s="63" t="s">
        <v>229</v>
      </c>
      <c r="AG6" s="63" t="s">
        <v>230</v>
      </c>
      <c r="AH6" s="63" t="s">
        <v>231</v>
      </c>
      <c r="AI6" s="63" t="s">
        <v>232</v>
      </c>
      <c r="AJ6" s="63" t="s">
        <v>233</v>
      </c>
      <c r="AK6" s="61" t="s">
        <v>234</v>
      </c>
      <c r="AL6" s="64" t="s">
        <v>235</v>
      </c>
      <c r="AM6" s="65"/>
    </row>
    <row r="7" spans="1:51" x14ac:dyDescent="0.15">
      <c r="A7" s="67"/>
      <c r="B7" s="68" t="s">
        <v>293</v>
      </c>
      <c r="C7" s="68" t="s">
        <v>294</v>
      </c>
      <c r="D7" s="132" t="s">
        <v>236</v>
      </c>
      <c r="E7" s="132" t="s">
        <v>237</v>
      </c>
      <c r="F7" s="68" t="s">
        <v>295</v>
      </c>
      <c r="G7" s="69" t="s">
        <v>146</v>
      </c>
      <c r="H7" s="68" t="s">
        <v>296</v>
      </c>
      <c r="I7" s="68" t="s">
        <v>150</v>
      </c>
      <c r="J7" s="71" t="s">
        <v>240</v>
      </c>
      <c r="K7" s="72"/>
      <c r="L7" s="72"/>
      <c r="M7" s="72"/>
      <c r="N7" s="72"/>
      <c r="O7" s="72"/>
      <c r="P7" s="72"/>
      <c r="Q7" s="72"/>
      <c r="R7" s="72"/>
      <c r="S7" s="72"/>
      <c r="T7" s="72"/>
      <c r="U7" s="72"/>
      <c r="V7" s="72"/>
      <c r="W7" s="72"/>
      <c r="X7" s="72"/>
      <c r="Y7" s="72"/>
      <c r="Z7" s="73" t="s">
        <v>241</v>
      </c>
      <c r="AA7" s="73" t="s">
        <v>242</v>
      </c>
      <c r="AB7" s="74" t="s">
        <v>243</v>
      </c>
      <c r="AC7" s="74" t="s">
        <v>244</v>
      </c>
      <c r="AD7" s="75"/>
      <c r="AE7" s="75"/>
      <c r="AF7" s="75"/>
      <c r="AG7" s="75"/>
      <c r="AH7" s="75"/>
      <c r="AI7" s="75"/>
      <c r="AJ7" s="75"/>
      <c r="AK7" s="73" t="s">
        <v>245</v>
      </c>
      <c r="AL7" s="73" t="s">
        <v>246</v>
      </c>
      <c r="AM7" s="76" t="s">
        <v>247</v>
      </c>
    </row>
    <row r="8" spans="1:51" s="84" customFormat="1" ht="16.5" thickBot="1" x14ac:dyDescent="0.2">
      <c r="A8" s="77"/>
      <c r="B8" s="78" t="s">
        <v>248</v>
      </c>
      <c r="C8" s="78" t="s">
        <v>248</v>
      </c>
      <c r="D8" s="133" t="s">
        <v>248</v>
      </c>
      <c r="E8" s="133" t="s">
        <v>248</v>
      </c>
      <c r="F8" s="78" t="s">
        <v>248</v>
      </c>
      <c r="G8" s="79" t="s">
        <v>248</v>
      </c>
      <c r="H8" s="78" t="s">
        <v>248</v>
      </c>
      <c r="I8" s="78" t="s">
        <v>248</v>
      </c>
      <c r="J8" s="80" t="s">
        <v>248</v>
      </c>
      <c r="K8" s="81"/>
      <c r="L8" s="81"/>
      <c r="M8" s="81"/>
      <c r="N8" s="81"/>
      <c r="O8" s="81"/>
      <c r="P8" s="81"/>
      <c r="Q8" s="81"/>
      <c r="R8" s="81"/>
      <c r="S8" s="81"/>
      <c r="T8" s="81"/>
      <c r="U8" s="81"/>
      <c r="V8" s="81"/>
      <c r="W8" s="81"/>
      <c r="X8" s="81"/>
      <c r="Y8" s="81"/>
      <c r="Z8" s="82" t="s">
        <v>265</v>
      </c>
      <c r="AA8" s="82" t="s">
        <v>249</v>
      </c>
      <c r="AB8" s="82" t="s">
        <v>249</v>
      </c>
      <c r="AC8" s="82" t="s">
        <v>266</v>
      </c>
      <c r="AD8" s="83"/>
      <c r="AE8" s="83"/>
      <c r="AF8" s="83"/>
      <c r="AG8" s="83"/>
      <c r="AH8" s="83"/>
      <c r="AI8" s="83"/>
      <c r="AJ8" s="83"/>
      <c r="AK8" s="82" t="s">
        <v>267</v>
      </c>
      <c r="AL8" s="82" t="s">
        <v>268</v>
      </c>
      <c r="AM8" s="80" t="s">
        <v>268</v>
      </c>
    </row>
    <row r="9" spans="1:51" ht="15" customHeight="1" x14ac:dyDescent="0.15">
      <c r="A9" s="85" t="s">
        <v>250</v>
      </c>
      <c r="B9" s="86">
        <f>Calculation!AA60*1000</f>
        <v>0</v>
      </c>
      <c r="C9" s="86">
        <f>Calculation!AA59*1000</f>
        <v>0</v>
      </c>
      <c r="D9" s="134">
        <v>1200</v>
      </c>
      <c r="E9" s="134">
        <v>150</v>
      </c>
      <c r="F9" s="86">
        <f>Calculation!AA57*1000+30</f>
        <v>0</v>
      </c>
      <c r="G9" s="87">
        <f>Calculation!AA57*1000</f>
        <v>-30</v>
      </c>
      <c r="H9" s="86">
        <f>(Calculation!AA56+Calculation!AA58)*1000</f>
        <v>140</v>
      </c>
      <c r="I9" s="86">
        <f>Calculation!AA58*1000</f>
        <v>140</v>
      </c>
      <c r="J9" s="88">
        <f>H9-I9</f>
        <v>0</v>
      </c>
      <c r="K9" s="89">
        <f>(B9+C9)/10</f>
        <v>0</v>
      </c>
      <c r="L9" s="89">
        <f>C9/10</f>
        <v>0</v>
      </c>
      <c r="M9" s="89">
        <f>I9/10</f>
        <v>14</v>
      </c>
      <c r="N9" s="89">
        <f>(H9/10-M9-O9-P9)</f>
        <v>-6</v>
      </c>
      <c r="O9" s="89">
        <v>6</v>
      </c>
      <c r="P9" s="89">
        <f>(H9-F9-I9)/10</f>
        <v>0</v>
      </c>
      <c r="Q9" s="89">
        <f>K9*P9</f>
        <v>0</v>
      </c>
      <c r="R9" s="89">
        <f>L9*(N9+O9)</f>
        <v>0</v>
      </c>
      <c r="S9" s="89">
        <f>K9*M9</f>
        <v>0</v>
      </c>
      <c r="T9" s="90">
        <f>O9/2*(K9-L9)-2/3.14159*O9/2*(K9-L9)/3</f>
        <v>0</v>
      </c>
      <c r="U9" s="90">
        <f>Q9*(P9/2+O9/2)</f>
        <v>0</v>
      </c>
      <c r="V9" s="91">
        <f>-R9*((N9+O9)/2-O9/2)</f>
        <v>0</v>
      </c>
      <c r="W9" s="89">
        <f>-S9*(O9/2+N9+M9/2)</f>
        <v>0</v>
      </c>
      <c r="X9" s="92">
        <f>O9/2*(K9-L9)*O9/4-(O9/2)^2*(K9-L9)/12</f>
        <v>0</v>
      </c>
      <c r="Y9" s="91">
        <f>U9+V9+W9+X9</f>
        <v>0</v>
      </c>
      <c r="Z9" s="93" t="e">
        <f>(AC9*0.0001*D9/1000+(B9+C9)/1000*E9/1000*H9/1000)/((B9+C9)/1000*(D9+E9)/1000)*2400*10</f>
        <v>#DIV/0!</v>
      </c>
      <c r="AA9" s="94" t="e">
        <f>H9/10-AB9</f>
        <v>#DIV/0!</v>
      </c>
      <c r="AB9" s="94" t="e">
        <f>P9+O9/2-Y9/AC9</f>
        <v>#DIV/0!</v>
      </c>
      <c r="AC9" s="95">
        <f>Q9+R9+S9+T9</f>
        <v>0</v>
      </c>
      <c r="AD9" s="96" t="e">
        <f>Q9*P9*P9/12+Q9*(AB9-P9/2)^2</f>
        <v>#DIV/0!</v>
      </c>
      <c r="AE9" s="95" t="e">
        <f>R9*(N9+O9)^2/12+R9*(P9+(N9+O9)/2-AB9)^2</f>
        <v>#DIV/0!</v>
      </c>
      <c r="AF9" s="96" t="e">
        <f>S9*M9*M9/12+S9*(M9/2+N9+O9+P9-AB9)^2</f>
        <v>#DIV/0!</v>
      </c>
      <c r="AG9" s="95" t="e">
        <f>(O9/2)^3*(K9-L9)/12+O9/2*(K9-L9)*(AB9-P9-O9/4)^2</f>
        <v>#DIV/0!</v>
      </c>
      <c r="AH9" s="95">
        <f>-4/9/3.14159*(O9/2)^3/3*(K9-L9)+O9/3.14159*(K9-L9)/3*(3.14159/8*O9/2)^2</f>
        <v>0</v>
      </c>
      <c r="AI9" s="95" t="e">
        <f>O9/3.14159*(K9-L9)/3*(P9+O9/2+3.14159*O9/16-AB9)^2</f>
        <v>#DIV/0!</v>
      </c>
      <c r="AJ9" s="95" t="e">
        <f>-O9/3.14159*(K9-L9)*2/3*(P9+O9/2-3.14159*O9/16-AB9)^2</f>
        <v>#DIV/0!</v>
      </c>
      <c r="AK9" s="95" t="e">
        <f>AD9+AE9+AF9*I12/I13+AG9+AH9+AI9+AJ9</f>
        <v>#DIV/0!</v>
      </c>
      <c r="AL9" s="95" t="e">
        <f>AK9/AB9</f>
        <v>#DIV/0!</v>
      </c>
      <c r="AM9" s="97" t="e">
        <f>AK9/(M9+N9+O9+P9-AB9)</f>
        <v>#DIV/0!</v>
      </c>
    </row>
    <row r="10" spans="1:51" ht="15" customHeight="1" thickBot="1" x14ac:dyDescent="0.2">
      <c r="A10" s="77"/>
      <c r="B10" s="98"/>
      <c r="C10" s="98"/>
      <c r="D10" s="135"/>
      <c r="E10" s="135"/>
      <c r="F10" s="98"/>
      <c r="G10" s="99"/>
      <c r="H10" s="98"/>
      <c r="I10" s="98"/>
      <c r="J10" s="100"/>
      <c r="K10" s="101"/>
      <c r="L10" s="101"/>
      <c r="M10" s="101"/>
      <c r="N10" s="101"/>
      <c r="O10" s="101"/>
      <c r="P10" s="101"/>
      <c r="Q10" s="101"/>
      <c r="R10" s="101"/>
      <c r="S10" s="101"/>
      <c r="T10" s="101"/>
      <c r="U10" s="101"/>
      <c r="V10" s="101"/>
      <c r="W10" s="101"/>
      <c r="X10" s="101"/>
      <c r="Y10" s="101"/>
      <c r="Z10" s="102"/>
      <c r="AA10" s="102"/>
      <c r="AB10" s="102"/>
      <c r="AC10" s="103"/>
      <c r="AD10" s="103"/>
      <c r="AE10" s="103"/>
      <c r="AF10" s="103"/>
      <c r="AG10" s="103"/>
      <c r="AH10" s="103"/>
      <c r="AI10" s="103"/>
      <c r="AJ10" s="103"/>
      <c r="AK10" s="103" t="e">
        <f>(AD9+AE9+AG9+AH9+AI9+AJ9)*I13/I12+AF9</f>
        <v>#DIV/0!</v>
      </c>
      <c r="AL10" s="103"/>
      <c r="AM10" s="104"/>
      <c r="AS10" s="105"/>
      <c r="AU10" s="105"/>
      <c r="AW10" s="105"/>
      <c r="AY10" s="105"/>
    </row>
    <row r="11" spans="1:51" ht="15" customHeight="1" x14ac:dyDescent="0.15">
      <c r="A11" s="106"/>
      <c r="B11" s="107"/>
      <c r="C11" s="108"/>
      <c r="D11" s="108"/>
      <c r="E11" s="108"/>
      <c r="F11" s="108"/>
      <c r="G11" s="108"/>
      <c r="H11" s="108"/>
      <c r="I11" s="108"/>
      <c r="J11" s="109"/>
      <c r="K11" s="109"/>
      <c r="L11" s="109"/>
      <c r="M11" s="109"/>
      <c r="N11" s="109"/>
      <c r="O11" s="109"/>
      <c r="P11" s="109"/>
      <c r="Q11" s="109"/>
      <c r="R11" s="109"/>
      <c r="S11" s="109"/>
      <c r="T11" s="109"/>
      <c r="U11" s="109"/>
      <c r="V11" s="109"/>
      <c r="W11" s="109"/>
      <c r="X11" s="109"/>
      <c r="Y11" s="109"/>
      <c r="Z11" s="109"/>
      <c r="AA11" s="109"/>
      <c r="AB11" s="109"/>
      <c r="AC11" s="110"/>
      <c r="AD11" s="110"/>
      <c r="AE11" s="110"/>
      <c r="AF11" s="110"/>
      <c r="AG11" s="110"/>
      <c r="AH11" s="110"/>
      <c r="AI11" s="110"/>
      <c r="AJ11" s="110"/>
      <c r="AK11" s="111"/>
      <c r="AL11" s="111"/>
      <c r="AM11" s="110"/>
      <c r="AS11" s="105"/>
      <c r="AU11" s="105"/>
      <c r="AW11" s="105"/>
      <c r="AY11" s="105"/>
    </row>
    <row r="12" spans="1:51" ht="14.25" x14ac:dyDescent="0.15">
      <c r="A12" s="112" t="s">
        <v>269</v>
      </c>
      <c r="B12" s="113"/>
      <c r="C12" s="49" t="s">
        <v>270</v>
      </c>
      <c r="D12" s="114">
        <v>35</v>
      </c>
      <c r="F12" s="52" t="s">
        <v>271</v>
      </c>
      <c r="H12" s="52" t="s">
        <v>251</v>
      </c>
      <c r="I12" s="136">
        <f>Calculation!AC64/1000000</f>
        <v>0</v>
      </c>
      <c r="J12" s="51" t="s">
        <v>252</v>
      </c>
      <c r="K12" s="49"/>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115" t="s">
        <v>272</v>
      </c>
      <c r="AL12" s="113"/>
      <c r="AM12" s="51">
        <f>I13</f>
        <v>0</v>
      </c>
      <c r="AS12" s="105"/>
      <c r="AU12" s="105"/>
      <c r="AW12" s="105"/>
      <c r="AY12" s="105"/>
    </row>
    <row r="13" spans="1:51" x14ac:dyDescent="0.15">
      <c r="A13" s="51"/>
      <c r="B13" s="51"/>
      <c r="C13" s="52" t="s">
        <v>253</v>
      </c>
      <c r="D13" s="114">
        <v>24</v>
      </c>
      <c r="F13" s="51"/>
      <c r="G13" s="51"/>
      <c r="H13" s="52" t="s">
        <v>253</v>
      </c>
      <c r="I13" s="136">
        <f>Calculation!AC63/1000000</f>
        <v>0</v>
      </c>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f>I12</f>
        <v>0</v>
      </c>
      <c r="AS13" s="105"/>
      <c r="AU13" s="105"/>
      <c r="AW13" s="105"/>
      <c r="AY13" s="105"/>
    </row>
    <row r="14" spans="1:51" x14ac:dyDescent="0.1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S14" s="105"/>
      <c r="AU14" s="105"/>
      <c r="AW14" s="105"/>
      <c r="AY14" s="105"/>
    </row>
    <row r="15" spans="1:51" x14ac:dyDescent="0.15">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S15" s="105"/>
      <c r="AU15" s="105"/>
      <c r="AW15" s="105"/>
      <c r="AY15" s="105"/>
    </row>
    <row r="16" spans="1:51" x14ac:dyDescent="0.15">
      <c r="A16" s="51"/>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S16" s="105"/>
      <c r="AU16" s="105"/>
      <c r="AW16" s="105"/>
      <c r="AY16" s="105"/>
    </row>
    <row r="17" spans="1:51" x14ac:dyDescent="0.15">
      <c r="A17" s="51"/>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S17" s="105"/>
      <c r="AU17" s="105"/>
      <c r="AW17" s="105"/>
      <c r="AY17" s="105"/>
    </row>
    <row r="18" spans="1:51" x14ac:dyDescent="0.15">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S18" s="105"/>
      <c r="AU18" s="105"/>
      <c r="AW18" s="105"/>
      <c r="AY18" s="105"/>
    </row>
    <row r="19" spans="1:51" x14ac:dyDescent="0.15">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S19" s="105"/>
      <c r="AU19" s="105"/>
      <c r="AW19" s="105"/>
      <c r="AY19" s="105"/>
    </row>
    <row r="20" spans="1:51" x14ac:dyDescent="0.1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S20" s="105"/>
      <c r="AU20" s="105"/>
      <c r="AW20" s="105"/>
      <c r="AY20" s="105"/>
    </row>
    <row r="21" spans="1:51" x14ac:dyDescent="0.15">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S21" s="105"/>
      <c r="AU21" s="105"/>
      <c r="AW21" s="105"/>
      <c r="AY21" s="105"/>
    </row>
    <row r="22" spans="1:51" x14ac:dyDescent="0.1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S22" s="105"/>
      <c r="AU22" s="105"/>
      <c r="AW22" s="105"/>
      <c r="AY22" s="105"/>
    </row>
    <row r="23" spans="1:51" x14ac:dyDescent="0.15">
      <c r="A23" s="51"/>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S23" s="105"/>
      <c r="AU23" s="105"/>
      <c r="AW23" s="105"/>
      <c r="AY23" s="105"/>
    </row>
    <row r="24" spans="1:51" x14ac:dyDescent="0.15">
      <c r="A24" s="51" t="s">
        <v>254</v>
      </c>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S24" s="105"/>
      <c r="AU24" s="105"/>
      <c r="AW24" s="105"/>
      <c r="AY24" s="105"/>
    </row>
    <row r="25" spans="1:51" x14ac:dyDescent="0.15">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S25" s="105"/>
      <c r="AU25" s="105"/>
      <c r="AW25" s="105"/>
      <c r="AY25" s="105"/>
    </row>
    <row r="26" spans="1:51" x14ac:dyDescent="0.15">
      <c r="A26" s="49" t="s">
        <v>273</v>
      </c>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S26" s="105"/>
      <c r="AU26" s="105"/>
      <c r="AW26" s="105"/>
      <c r="AY26" s="105"/>
    </row>
    <row r="27" spans="1:51" x14ac:dyDescent="0.15">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S27" s="105"/>
      <c r="AU27" s="105"/>
      <c r="AW27" s="105"/>
      <c r="AY27" s="105"/>
    </row>
    <row r="28" spans="1:51" x14ac:dyDescent="0.15">
      <c r="A28" s="51"/>
      <c r="B28" s="51" t="s">
        <v>255</v>
      </c>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S28" s="105"/>
      <c r="AU28" s="105"/>
      <c r="AW28" s="105"/>
      <c r="AY28" s="105"/>
    </row>
    <row r="29" spans="1:51" x14ac:dyDescent="0.15">
      <c r="A29" s="51"/>
      <c r="B29" s="51" t="s">
        <v>256</v>
      </c>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S29" s="105"/>
      <c r="AU29" s="105"/>
      <c r="AW29" s="105"/>
      <c r="AY29" s="105"/>
    </row>
    <row r="30" spans="1:51" x14ac:dyDescent="0.15">
      <c r="A30" s="51"/>
      <c r="B30" s="51" t="str">
        <f>F9&amp;"-23.6 = "</f>
        <v xml:space="preserve">0-23.6 = </v>
      </c>
      <c r="C30" s="51"/>
      <c r="D30" s="47">
        <f>F9-23.6</f>
        <v>-23.6</v>
      </c>
      <c r="E30" s="49" t="s">
        <v>274</v>
      </c>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S30" s="105"/>
      <c r="AU30" s="105"/>
      <c r="AW30" s="105"/>
      <c r="AY30" s="105"/>
    </row>
    <row r="31" spans="1:51" x14ac:dyDescent="0.15">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S31" s="105"/>
      <c r="AU31" s="105"/>
      <c r="AW31" s="105"/>
      <c r="AY31" s="105"/>
    </row>
    <row r="32" spans="1:51" x14ac:dyDescent="0.15">
      <c r="A32" s="49" t="s">
        <v>275</v>
      </c>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S32" s="105"/>
      <c r="AU32" s="105"/>
      <c r="AW32" s="105"/>
      <c r="AY32" s="105"/>
    </row>
    <row r="33" spans="1:51" x14ac:dyDescent="0.1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S33" s="105"/>
      <c r="AU33" s="105"/>
      <c r="AW33" s="105"/>
      <c r="AY33" s="105"/>
    </row>
    <row r="34" spans="1:51" x14ac:dyDescent="0.15">
      <c r="A34" s="51"/>
      <c r="B34" s="51" t="str">
        <f>"t 1= ("&amp;B9+C9&amp;"×"&amp;D9+E9&amp;"×"&amp;J9&amp;"-"&amp;B9&amp;"×"&amp;D9&amp;"×"&amp;D30&amp;")/("&amp;B9+C9&amp;"×"&amp;D9+E9&amp;")="</f>
        <v>t 1= (0×1350×0-0×1200×-23.6)/(0×1350)=</v>
      </c>
      <c r="C34" s="51"/>
      <c r="D34" s="51"/>
      <c r="E34" s="51"/>
      <c r="F34" s="51"/>
      <c r="G34" s="51"/>
      <c r="H34" s="116" t="e">
        <f>FIXED(((B9+C9)*(D9+E9)*J9-B9*D9*F58)/((B9+C9)*(D9+E9)),1)</f>
        <v>#DIV/0!</v>
      </c>
      <c r="I34" s="49" t="s">
        <v>274</v>
      </c>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M34" s="51"/>
      <c r="AS34" s="105"/>
      <c r="AU34" s="105"/>
      <c r="AW34" s="105"/>
      <c r="AY34" s="105"/>
    </row>
    <row r="35" spans="1:51" x14ac:dyDescent="0.15">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S35" s="105"/>
      <c r="AU35" s="105"/>
      <c r="AW35" s="105"/>
      <c r="AY35" s="105"/>
    </row>
    <row r="36" spans="1:51" x14ac:dyDescent="0.15">
      <c r="A36" s="49" t="s">
        <v>276</v>
      </c>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S36" s="105"/>
      <c r="AU36" s="105"/>
      <c r="AW36" s="105"/>
      <c r="AY36" s="105"/>
    </row>
    <row r="37" spans="1:51" x14ac:dyDescent="0.15">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S37" s="105"/>
      <c r="AU37" s="105"/>
      <c r="AW37" s="105"/>
      <c r="AY37" s="105"/>
    </row>
    <row r="38" spans="1:51" x14ac:dyDescent="0.15">
      <c r="A38" s="51"/>
      <c r="B38" s="47" t="e">
        <f>"t = "&amp;I9&amp;" + "&amp;H34&amp;" = "</f>
        <v>#DIV/0!</v>
      </c>
      <c r="C38" s="51"/>
      <c r="D38" s="51" t="e">
        <f>I9+H34</f>
        <v>#DIV/0!</v>
      </c>
      <c r="E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S38" s="105"/>
      <c r="AU38" s="105"/>
      <c r="AW38" s="105"/>
      <c r="AY38" s="105"/>
    </row>
    <row r="39" spans="1:51" ht="15.75" x14ac:dyDescent="0.15">
      <c r="A39" s="51"/>
      <c r="B39" s="51" t="e">
        <f>"W  = ( "&amp;D38&amp;" ) × 24 ="</f>
        <v>#DIV/0!</v>
      </c>
      <c r="C39" s="51"/>
      <c r="D39" s="51"/>
      <c r="E39" s="51" t="e">
        <f>FIXED(D38*24,0)</f>
        <v>#DIV/0!</v>
      </c>
      <c r="F39" s="49" t="s">
        <v>277</v>
      </c>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S39" s="105"/>
      <c r="AU39" s="105"/>
      <c r="AW39" s="105"/>
      <c r="AY39" s="105"/>
    </row>
    <row r="40" spans="1:51" ht="15.75" x14ac:dyDescent="0.15">
      <c r="A40" s="51"/>
      <c r="B40" s="51" t="e">
        <f>"m = "&amp;E39&amp;"/ 9.8 = "</f>
        <v>#DIV/0!</v>
      </c>
      <c r="C40" s="51"/>
      <c r="D40" s="51" t="e">
        <f>FIXED(E39/9.8,1)</f>
        <v>#DIV/0!</v>
      </c>
      <c r="E40" s="49" t="s">
        <v>278</v>
      </c>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S40" s="105"/>
      <c r="AU40" s="105"/>
      <c r="AW40" s="105"/>
      <c r="AY40" s="105"/>
    </row>
    <row r="41" spans="1:51" x14ac:dyDescent="0.15">
      <c r="A41" s="51"/>
      <c r="B41" s="51"/>
      <c r="C41" s="51"/>
      <c r="D41" s="51"/>
      <c r="E41" s="49"/>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S41" s="105"/>
      <c r="AU41" s="105"/>
      <c r="AW41" s="105"/>
      <c r="AY41" s="105"/>
    </row>
    <row r="42" spans="1:51" ht="15.75" x14ac:dyDescent="0.15">
      <c r="A42" s="49" t="s">
        <v>279</v>
      </c>
      <c r="B42" s="51"/>
      <c r="C42" s="51"/>
      <c r="D42" s="51"/>
      <c r="E42" s="49"/>
      <c r="F42" s="51"/>
      <c r="G42" s="51"/>
      <c r="H42" s="51"/>
      <c r="I42" s="51"/>
      <c r="J42" s="51"/>
      <c r="K42" s="51"/>
      <c r="L42" s="51"/>
      <c r="M42" s="51"/>
      <c r="N42" s="51"/>
      <c r="O42" s="51"/>
      <c r="P42" s="51"/>
      <c r="Q42" s="51"/>
      <c r="R42" s="51"/>
      <c r="S42" s="51"/>
      <c r="T42" s="51"/>
      <c r="U42" s="51"/>
      <c r="V42" s="51"/>
      <c r="W42" s="51"/>
      <c r="X42" s="51"/>
      <c r="Y42" s="51"/>
      <c r="Z42" s="49" t="s">
        <v>280</v>
      </c>
      <c r="AA42" s="51"/>
      <c r="AB42" s="51"/>
      <c r="AC42" s="51"/>
      <c r="AD42" s="51"/>
      <c r="AE42" s="51"/>
      <c r="AF42" s="51"/>
      <c r="AG42" s="51"/>
      <c r="AH42" s="51"/>
      <c r="AI42" s="51"/>
      <c r="AJ42" s="51"/>
      <c r="AK42" s="51"/>
      <c r="AL42" s="51"/>
      <c r="AM42" s="51"/>
      <c r="AS42" s="105"/>
      <c r="AU42" s="105"/>
      <c r="AW42" s="105"/>
      <c r="AY42" s="105"/>
    </row>
    <row r="43" spans="1:51" x14ac:dyDescent="0.15">
      <c r="A43" s="49"/>
      <c r="B43" s="51"/>
      <c r="C43" s="51"/>
      <c r="D43" s="51"/>
      <c r="E43" s="49"/>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S43" s="105"/>
      <c r="AU43" s="105"/>
      <c r="AW43" s="105"/>
      <c r="AY43" s="105"/>
    </row>
    <row r="44" spans="1:51" ht="15.75" x14ac:dyDescent="0.15">
      <c r="A44" s="49"/>
      <c r="B44" s="51" t="e">
        <f>"I ="&amp;FIXED(AK9,0)&amp;"×1000 / "&amp;B9+C9&amp;" = "</f>
        <v>#DIV/0!</v>
      </c>
      <c r="C44" s="51"/>
      <c r="D44" s="51"/>
      <c r="E44" s="49" t="e">
        <f>AK9*1000/(B9+C9)</f>
        <v>#DIV/0!</v>
      </c>
      <c r="F44" s="49" t="s">
        <v>281</v>
      </c>
      <c r="G44" s="51" t="e">
        <f>FIXED(E44/100000000,6)</f>
        <v>#DIV/0!</v>
      </c>
      <c r="H44" s="49" t="s">
        <v>282</v>
      </c>
      <c r="I44" s="51"/>
      <c r="J44" s="51"/>
      <c r="K44" s="51"/>
      <c r="L44" s="51"/>
      <c r="M44" s="51"/>
      <c r="N44" s="51"/>
      <c r="O44" s="51"/>
      <c r="P44" s="51"/>
      <c r="Q44" s="51"/>
      <c r="R44" s="51"/>
      <c r="S44" s="51"/>
      <c r="T44" s="51"/>
      <c r="U44" s="51"/>
      <c r="V44" s="51"/>
      <c r="W44" s="51"/>
      <c r="X44" s="51"/>
      <c r="Y44" s="51"/>
      <c r="Z44" s="51" t="e">
        <f>"t = "&amp;FIXED(E44,0)&amp;"×12/100)^1/3 = "</f>
        <v>#DIV/0!</v>
      </c>
      <c r="AA44" s="51"/>
      <c r="AB44" s="51"/>
      <c r="AC44" s="117" t="e">
        <f>(E44*12/100)^(1/3)</f>
        <v>#DIV/0!</v>
      </c>
      <c r="AD44" s="51"/>
      <c r="AE44" s="51"/>
      <c r="AF44" s="51"/>
      <c r="AG44" s="51"/>
      <c r="AH44" s="51"/>
      <c r="AI44" s="51"/>
      <c r="AJ44" s="51"/>
      <c r="AK44" s="49" t="s">
        <v>283</v>
      </c>
      <c r="AL44" s="118" t="e">
        <f>AC44*10</f>
        <v>#DIV/0!</v>
      </c>
      <c r="AM44" s="49" t="s">
        <v>284</v>
      </c>
      <c r="AS44" s="105"/>
      <c r="AU44" s="105"/>
      <c r="AW44" s="105"/>
      <c r="AY44" s="105"/>
    </row>
    <row r="45" spans="1:51" ht="15.75" x14ac:dyDescent="0.15">
      <c r="A45" s="49"/>
      <c r="B45" s="51" t="e">
        <f>"I ="&amp;FIXED(AK10,0)&amp;"×1000 / "&amp;B9+C9&amp;" = "</f>
        <v>#DIV/0!</v>
      </c>
      <c r="C45" s="51"/>
      <c r="D45" s="51"/>
      <c r="E45" s="49" t="e">
        <f>AK10*1000/(B9+C9)</f>
        <v>#DIV/0!</v>
      </c>
      <c r="F45" s="49" t="s">
        <v>281</v>
      </c>
      <c r="G45" s="51" t="e">
        <f>FIXED(E45/100000000,6)</f>
        <v>#DIV/0!</v>
      </c>
      <c r="H45" s="49"/>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S45" s="105"/>
      <c r="AU45" s="105"/>
      <c r="AW45" s="105"/>
      <c r="AY45" s="105"/>
    </row>
    <row r="46" spans="1:51" x14ac:dyDescent="0.15">
      <c r="A46" s="49" t="s">
        <v>285</v>
      </c>
      <c r="B46" s="51"/>
      <c r="C46" s="51"/>
      <c r="D46" s="51"/>
      <c r="E46" s="49"/>
      <c r="F46" s="49"/>
      <c r="G46" s="51"/>
      <c r="H46" s="49"/>
      <c r="I46" s="51"/>
      <c r="J46" s="51"/>
      <c r="K46" s="51"/>
      <c r="L46" s="51"/>
      <c r="M46" s="51"/>
      <c r="N46" s="51"/>
      <c r="O46" s="51"/>
      <c r="P46" s="51"/>
      <c r="Q46" s="51"/>
      <c r="R46" s="51"/>
      <c r="S46" s="51"/>
      <c r="T46" s="51"/>
      <c r="U46" s="51"/>
      <c r="V46" s="51"/>
      <c r="W46" s="51"/>
      <c r="X46" s="51"/>
      <c r="Y46" s="51"/>
      <c r="Z46" s="49" t="s">
        <v>286</v>
      </c>
      <c r="AA46" s="51"/>
      <c r="AB46" s="51"/>
      <c r="AC46" s="51"/>
      <c r="AD46" s="51"/>
      <c r="AE46" s="51"/>
      <c r="AF46" s="51"/>
      <c r="AG46" s="51"/>
      <c r="AH46" s="51"/>
      <c r="AI46" s="51"/>
      <c r="AJ46" s="51"/>
      <c r="AK46" s="51"/>
      <c r="AL46" s="51"/>
      <c r="AM46" s="51"/>
      <c r="AS46" s="105"/>
      <c r="AU46" s="105"/>
      <c r="AW46" s="105"/>
      <c r="AY46" s="105"/>
    </row>
    <row r="47" spans="1:51" x14ac:dyDescent="0.15">
      <c r="A47" s="49"/>
      <c r="B47" s="51"/>
      <c r="C47" s="51"/>
      <c r="D47" s="51"/>
      <c r="E47" s="49"/>
      <c r="F47" s="49"/>
      <c r="G47" s="51"/>
      <c r="H47" s="49"/>
      <c r="I47" s="51"/>
      <c r="J47" s="51"/>
      <c r="K47" s="51"/>
      <c r="L47" s="51"/>
      <c r="M47" s="51"/>
      <c r="N47" s="51"/>
      <c r="O47" s="51"/>
      <c r="P47" s="51"/>
      <c r="Q47" s="51"/>
      <c r="R47" s="51"/>
      <c r="S47" s="51"/>
      <c r="T47" s="51"/>
      <c r="U47" s="51"/>
      <c r="V47" s="51"/>
      <c r="W47" s="51"/>
      <c r="X47" s="51"/>
      <c r="Y47" s="51"/>
      <c r="Z47" s="49" t="s">
        <v>287</v>
      </c>
      <c r="AA47" s="51"/>
      <c r="AB47" s="51"/>
      <c r="AC47" s="51"/>
      <c r="AD47" s="51"/>
      <c r="AE47" s="51"/>
      <c r="AF47" s="51"/>
      <c r="AG47" s="51"/>
      <c r="AH47" s="51"/>
      <c r="AI47" s="51"/>
      <c r="AJ47" s="51"/>
      <c r="AK47" s="51"/>
      <c r="AL47" s="51"/>
      <c r="AM47" s="51"/>
      <c r="AS47" s="105"/>
      <c r="AU47" s="105"/>
      <c r="AW47" s="105"/>
      <c r="AY47" s="105"/>
    </row>
    <row r="48" spans="1:51" ht="17.25" x14ac:dyDescent="0.25">
      <c r="A48" s="49"/>
      <c r="B48" s="49" t="s">
        <v>288</v>
      </c>
      <c r="C48" s="51"/>
      <c r="D48" s="51"/>
      <c r="E48" s="49"/>
      <c r="F48" s="49"/>
      <c r="G48" s="51"/>
      <c r="H48" s="49"/>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S48" s="105"/>
      <c r="AU48" s="105"/>
      <c r="AW48" s="105"/>
      <c r="AY48" s="105"/>
    </row>
    <row r="49" spans="1:51" x14ac:dyDescent="0.15">
      <c r="A49" s="49"/>
      <c r="B49" s="51" t="e">
        <f>"   = ( 2×"&amp;D40&amp;"×"&amp;FIXED(AM12/10000,3)&amp;"10^10×"&amp;G44&amp;"×"&amp;"10^(-13))^(1/4)="</f>
        <v>#DIV/0!</v>
      </c>
      <c r="C49" s="51"/>
      <c r="D49" s="51"/>
      <c r="E49" s="49"/>
      <c r="F49" s="49"/>
      <c r="G49" s="51"/>
      <c r="H49" s="49" t="e">
        <f>FIXED((2*D40*AM12*1000000*G44*10^(-13))^(1/4),4)</f>
        <v>#DIV/0!</v>
      </c>
      <c r="I49" s="51" t="e">
        <f>"m = "&amp;H49*1000&amp;" mm"</f>
        <v>#DIV/0!</v>
      </c>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S49" s="105"/>
      <c r="AU49" s="105"/>
      <c r="AW49" s="105"/>
      <c r="AY49" s="105"/>
    </row>
    <row r="50" spans="1:51" x14ac:dyDescent="0.15">
      <c r="A50" s="49"/>
      <c r="B50" s="51"/>
      <c r="C50" s="51"/>
      <c r="D50" s="51"/>
      <c r="E50" s="49"/>
      <c r="F50" s="49"/>
      <c r="G50" s="51"/>
      <c r="H50" s="49"/>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S50" s="105"/>
      <c r="AU50" s="105"/>
      <c r="AW50" s="105"/>
      <c r="AY50" s="105"/>
    </row>
    <row r="51" spans="1:51" x14ac:dyDescent="0.15">
      <c r="A51" s="51"/>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S51" s="105"/>
      <c r="AU51" s="105"/>
      <c r="AW51" s="105"/>
      <c r="AY51" s="105"/>
    </row>
    <row r="52" spans="1:51" ht="13.5" customHeight="1" x14ac:dyDescent="0.15">
      <c r="A52" s="48" t="s">
        <v>257</v>
      </c>
      <c r="B52" s="51"/>
      <c r="C52" s="51"/>
      <c r="D52" s="51"/>
      <c r="E52" s="51"/>
      <c r="F52" s="49" t="s">
        <v>263</v>
      </c>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row>
    <row r="53" spans="1:51" ht="13.5" customHeight="1" x14ac:dyDescent="0.15">
      <c r="A53" s="46" t="s">
        <v>289</v>
      </c>
      <c r="B53" s="51"/>
      <c r="C53" s="51"/>
      <c r="D53" s="51"/>
      <c r="E53" s="51"/>
      <c r="F53" s="49"/>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row>
    <row r="54" spans="1:51" ht="19.5" customHeight="1" thickBot="1" x14ac:dyDescent="0.2">
      <c r="B54" s="51"/>
      <c r="C54" s="51"/>
      <c r="D54" s="51"/>
      <c r="E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row>
    <row r="55" spans="1:51" s="66" customFormat="1" ht="24.95" customHeight="1" x14ac:dyDescent="0.2">
      <c r="A55" s="54" t="s">
        <v>199</v>
      </c>
      <c r="B55" s="55" t="s">
        <v>200</v>
      </c>
      <c r="C55" s="55" t="s">
        <v>201</v>
      </c>
      <c r="D55" s="55" t="s">
        <v>202</v>
      </c>
      <c r="E55" s="55" t="s">
        <v>201</v>
      </c>
      <c r="F55" s="56" t="s">
        <v>203</v>
      </c>
      <c r="G55" s="119"/>
      <c r="H55" s="55" t="s">
        <v>205</v>
      </c>
      <c r="I55" s="55" t="s">
        <v>206</v>
      </c>
      <c r="J55" s="58" t="s">
        <v>207</v>
      </c>
      <c r="K55" s="59" t="s">
        <v>208</v>
      </c>
      <c r="L55" s="59" t="s">
        <v>209</v>
      </c>
      <c r="M55" s="59" t="s">
        <v>210</v>
      </c>
      <c r="N55" s="59" t="s">
        <v>211</v>
      </c>
      <c r="O55" s="59" t="s">
        <v>212</v>
      </c>
      <c r="P55" s="59" t="s">
        <v>213</v>
      </c>
      <c r="Q55" s="59" t="s">
        <v>214</v>
      </c>
      <c r="R55" s="59" t="s">
        <v>215</v>
      </c>
      <c r="S55" s="59" t="s">
        <v>216</v>
      </c>
      <c r="T55" s="59" t="s">
        <v>217</v>
      </c>
      <c r="U55" s="60" t="s">
        <v>218</v>
      </c>
      <c r="V55" s="59" t="s">
        <v>219</v>
      </c>
      <c r="W55" s="59" t="s">
        <v>220</v>
      </c>
      <c r="X55" s="59" t="s">
        <v>221</v>
      </c>
      <c r="Y55" s="59" t="s">
        <v>222</v>
      </c>
      <c r="Z55" s="61" t="s">
        <v>223</v>
      </c>
      <c r="AA55" s="61" t="s">
        <v>224</v>
      </c>
      <c r="AB55" s="61" t="s">
        <v>225</v>
      </c>
      <c r="AC55" s="62" t="s">
        <v>226</v>
      </c>
      <c r="AD55" s="63" t="s">
        <v>227</v>
      </c>
      <c r="AE55" s="63" t="s">
        <v>228</v>
      </c>
      <c r="AF55" s="63" t="s">
        <v>229</v>
      </c>
      <c r="AG55" s="63" t="s">
        <v>230</v>
      </c>
      <c r="AH55" s="63" t="s">
        <v>231</v>
      </c>
      <c r="AI55" s="63" t="s">
        <v>232</v>
      </c>
      <c r="AJ55" s="63" t="s">
        <v>233</v>
      </c>
      <c r="AK55" s="61" t="s">
        <v>234</v>
      </c>
      <c r="AL55" s="64" t="s">
        <v>235</v>
      </c>
      <c r="AM55" s="65"/>
    </row>
    <row r="56" spans="1:51" x14ac:dyDescent="0.15">
      <c r="A56" s="67"/>
      <c r="B56" s="68" t="s">
        <v>258</v>
      </c>
      <c r="C56" s="68" t="s">
        <v>259</v>
      </c>
      <c r="D56" s="68" t="s">
        <v>260</v>
      </c>
      <c r="E56" s="68" t="s">
        <v>237</v>
      </c>
      <c r="F56" s="68" t="s">
        <v>261</v>
      </c>
      <c r="G56" s="120"/>
      <c r="H56" s="70" t="s">
        <v>238</v>
      </c>
      <c r="I56" s="68" t="s">
        <v>239</v>
      </c>
      <c r="J56" s="71" t="s">
        <v>240</v>
      </c>
      <c r="K56" s="72"/>
      <c r="L56" s="72"/>
      <c r="M56" s="72"/>
      <c r="N56" s="72"/>
      <c r="O56" s="72"/>
      <c r="P56" s="72"/>
      <c r="Q56" s="72"/>
      <c r="R56" s="72"/>
      <c r="S56" s="72"/>
      <c r="T56" s="72"/>
      <c r="U56" s="72"/>
      <c r="V56" s="72"/>
      <c r="W56" s="72"/>
      <c r="X56" s="72"/>
      <c r="Y56" s="72"/>
      <c r="Z56" s="73" t="s">
        <v>241</v>
      </c>
      <c r="AA56" s="73" t="s">
        <v>242</v>
      </c>
      <c r="AB56" s="74" t="s">
        <v>243</v>
      </c>
      <c r="AC56" s="73" t="s">
        <v>244</v>
      </c>
      <c r="AD56" s="75"/>
      <c r="AE56" s="75"/>
      <c r="AF56" s="75"/>
      <c r="AG56" s="75"/>
      <c r="AH56" s="75"/>
      <c r="AI56" s="75"/>
      <c r="AJ56" s="75"/>
      <c r="AK56" s="73" t="s">
        <v>245</v>
      </c>
      <c r="AL56" s="73" t="s">
        <v>246</v>
      </c>
      <c r="AM56" s="76" t="s">
        <v>247</v>
      </c>
    </row>
    <row r="57" spans="1:51" s="84" customFormat="1" ht="16.5" thickBot="1" x14ac:dyDescent="0.2">
      <c r="A57" s="77"/>
      <c r="B57" s="78" t="s">
        <v>248</v>
      </c>
      <c r="C57" s="78" t="s">
        <v>248</v>
      </c>
      <c r="D57" s="78" t="s">
        <v>248</v>
      </c>
      <c r="E57" s="78" t="s">
        <v>248</v>
      </c>
      <c r="F57" s="78" t="s">
        <v>248</v>
      </c>
      <c r="G57" s="121"/>
      <c r="H57" s="78" t="s">
        <v>248</v>
      </c>
      <c r="I57" s="78" t="s">
        <v>248</v>
      </c>
      <c r="J57" s="80" t="s">
        <v>248</v>
      </c>
      <c r="K57" s="81"/>
      <c r="L57" s="81"/>
      <c r="M57" s="81"/>
      <c r="N57" s="81"/>
      <c r="O57" s="81"/>
      <c r="P57" s="81"/>
      <c r="Q57" s="81"/>
      <c r="R57" s="81"/>
      <c r="S57" s="81"/>
      <c r="T57" s="81"/>
      <c r="U57" s="81"/>
      <c r="V57" s="81"/>
      <c r="W57" s="81"/>
      <c r="X57" s="81"/>
      <c r="Y57" s="81"/>
      <c r="Z57" s="82" t="s">
        <v>265</v>
      </c>
      <c r="AA57" s="82" t="s">
        <v>249</v>
      </c>
      <c r="AB57" s="82" t="s">
        <v>249</v>
      </c>
      <c r="AC57" s="82" t="s">
        <v>266</v>
      </c>
      <c r="AD57" s="83"/>
      <c r="AE57" s="83"/>
      <c r="AF57" s="83"/>
      <c r="AG57" s="83"/>
      <c r="AH57" s="83"/>
      <c r="AI57" s="83"/>
      <c r="AJ57" s="83"/>
      <c r="AK57" s="82" t="s">
        <v>267</v>
      </c>
      <c r="AL57" s="82" t="s">
        <v>268</v>
      </c>
      <c r="AM57" s="80" t="s">
        <v>268</v>
      </c>
    </row>
    <row r="58" spans="1:51" ht="15" customHeight="1" x14ac:dyDescent="0.15">
      <c r="A58" s="122" t="str">
        <f>A9</f>
        <v>VS1</v>
      </c>
      <c r="B58" s="86">
        <f>B9</f>
        <v>0</v>
      </c>
      <c r="C58" s="86">
        <f>C9</f>
        <v>0</v>
      </c>
      <c r="D58" s="86">
        <f>D9</f>
        <v>1200</v>
      </c>
      <c r="E58" s="86">
        <f>E9</f>
        <v>150</v>
      </c>
      <c r="F58" s="86">
        <f>D30</f>
        <v>-23.6</v>
      </c>
      <c r="G58" s="123"/>
      <c r="H58" s="86">
        <f>H9</f>
        <v>140</v>
      </c>
      <c r="I58" s="86">
        <f>I9</f>
        <v>140</v>
      </c>
      <c r="J58" s="88">
        <f>H58-I58</f>
        <v>0</v>
      </c>
      <c r="K58" s="89">
        <f>(B58+C58)/10</f>
        <v>0</v>
      </c>
      <c r="L58" s="89">
        <f>C58/10</f>
        <v>0</v>
      </c>
      <c r="M58" s="89">
        <f>I58/10</f>
        <v>14</v>
      </c>
      <c r="N58" s="89">
        <f>F58/10</f>
        <v>-2.3600000000000003</v>
      </c>
      <c r="O58" s="89">
        <f>H58/10-M58-N58</f>
        <v>2.3600000000000003</v>
      </c>
      <c r="P58" s="89">
        <v>0</v>
      </c>
      <c r="Q58" s="89">
        <f>K58*O58</f>
        <v>0</v>
      </c>
      <c r="R58" s="89">
        <f>L58*N58</f>
        <v>0</v>
      </c>
      <c r="S58" s="89">
        <f>K58*M58</f>
        <v>0</v>
      </c>
      <c r="T58" s="90"/>
      <c r="U58" s="90">
        <f>Q58*(M58+N58+O58/2)</f>
        <v>0</v>
      </c>
      <c r="V58" s="91">
        <f>R58*(M58+N58/2)</f>
        <v>0</v>
      </c>
      <c r="W58" s="89">
        <f>S58*M58/2</f>
        <v>0</v>
      </c>
      <c r="X58" s="92"/>
      <c r="Y58" s="91">
        <f>U58+V58+W58</f>
        <v>0</v>
      </c>
      <c r="Z58" s="93" t="e">
        <f>(AC58*0.0001*D58/1000+(B58+C58)/1000*E58/1000*H58/1000)/((B58+C58)/1000*(D58+E58)/1000)*2400*10</f>
        <v>#DIV/0!</v>
      </c>
      <c r="AA58" s="94" t="e">
        <f>H58/10-AB58</f>
        <v>#DIV/0!</v>
      </c>
      <c r="AB58" s="94" t="e">
        <f>H58/10-Y58/AC58</f>
        <v>#DIV/0!</v>
      </c>
      <c r="AC58" s="95">
        <f>Q58+R58+S58</f>
        <v>0</v>
      </c>
      <c r="AD58" s="96" t="e">
        <f>K58*O58^3/12+Q58*(AA58-O58/2-N58-M58)^2</f>
        <v>#DIV/0!</v>
      </c>
      <c r="AE58" s="124" t="e">
        <f>L58*N58^3/12+R58*(AA58-N58/2-M58)^2</f>
        <v>#DIV/0!</v>
      </c>
      <c r="AF58" s="124" t="e">
        <f>K58*M58^3/12+S58*(AA58-M58/2)^2</f>
        <v>#DIV/0!</v>
      </c>
      <c r="AG58" s="95"/>
      <c r="AH58" s="95"/>
      <c r="AI58" s="95"/>
      <c r="AJ58" s="95"/>
      <c r="AK58" s="95" t="e">
        <f>AD58+AE58+AF58*I12/I13</f>
        <v>#DIV/0!</v>
      </c>
      <c r="AL58" s="95" t="e">
        <f>AK58/(H58/10-Y58/AC58)</f>
        <v>#DIV/0!</v>
      </c>
      <c r="AM58" s="97" t="e">
        <f>AK58/(Y58/AC58)</f>
        <v>#DIV/0!</v>
      </c>
    </row>
    <row r="59" spans="1:51" ht="15" customHeight="1" thickBot="1" x14ac:dyDescent="0.2">
      <c r="A59" s="77"/>
      <c r="B59" s="98"/>
      <c r="C59" s="98"/>
      <c r="D59" s="98"/>
      <c r="E59" s="98"/>
      <c r="F59" s="98"/>
      <c r="G59" s="125"/>
      <c r="H59" s="98"/>
      <c r="I59" s="98"/>
      <c r="J59" s="100"/>
      <c r="K59" s="101"/>
      <c r="L59" s="101"/>
      <c r="M59" s="101"/>
      <c r="N59" s="101"/>
      <c r="O59" s="101"/>
      <c r="P59" s="101"/>
      <c r="Q59" s="101"/>
      <c r="R59" s="101"/>
      <c r="S59" s="101"/>
      <c r="T59" s="101"/>
      <c r="U59" s="101"/>
      <c r="V59" s="101"/>
      <c r="W59" s="101"/>
      <c r="X59" s="101"/>
      <c r="Y59" s="101"/>
      <c r="Z59" s="102"/>
      <c r="AA59" s="102"/>
      <c r="AB59" s="102"/>
      <c r="AC59" s="103"/>
      <c r="AD59" s="103"/>
      <c r="AE59" s="103"/>
      <c r="AF59" s="103"/>
      <c r="AG59" s="103"/>
      <c r="AH59" s="103"/>
      <c r="AI59" s="103"/>
      <c r="AJ59" s="103"/>
      <c r="AK59" s="103"/>
      <c r="AL59" s="103"/>
      <c r="AM59" s="104"/>
    </row>
    <row r="60" spans="1:51" x14ac:dyDescent="0.15">
      <c r="A60" s="126"/>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row>
    <row r="61" spans="1:51" x14ac:dyDescent="0.15">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row>
    <row r="62" spans="1:51" x14ac:dyDescent="0.1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row>
    <row r="63" spans="1:51" x14ac:dyDescent="0.15">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row>
    <row r="64" spans="1:51" x14ac:dyDescent="0.15">
      <c r="A64" s="51"/>
      <c r="B64" s="51"/>
      <c r="C64" s="51"/>
      <c r="D64" s="51"/>
      <c r="E64" s="51"/>
      <c r="F64" s="51"/>
      <c r="G64" s="51"/>
      <c r="H64" s="51"/>
      <c r="I64" s="51"/>
      <c r="J64" s="118"/>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row>
    <row r="65" spans="1:39" x14ac:dyDescent="0.15">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row>
    <row r="66" spans="1:39" x14ac:dyDescent="0.1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row>
    <row r="67" spans="1:39" x14ac:dyDescent="0.15">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row>
    <row r="68" spans="1:39" x14ac:dyDescent="0.15">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row>
    <row r="69" spans="1:39" x14ac:dyDescent="0.15">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row>
    <row r="70" spans="1:39" x14ac:dyDescent="0.15">
      <c r="A70" s="51"/>
      <c r="B70" s="127"/>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row>
    <row r="71" spans="1:39" x14ac:dyDescent="0.15">
      <c r="A71" s="51"/>
      <c r="B71" s="118"/>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row>
    <row r="72" spans="1:39" ht="15.75" x14ac:dyDescent="0.15">
      <c r="A72" s="49" t="s">
        <v>279</v>
      </c>
      <c r="B72" s="127"/>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row>
    <row r="73" spans="1:39" x14ac:dyDescent="0.15">
      <c r="B73" s="128"/>
    </row>
    <row r="74" spans="1:39" ht="15.75" x14ac:dyDescent="0.15">
      <c r="B74" s="51" t="e">
        <f>"I ="&amp;FIXED(AK58,0)&amp;"×1000 / "&amp;B58+C58&amp;" = "</f>
        <v>#DIV/0!</v>
      </c>
      <c r="E74" s="49" t="e">
        <f>AK58*1000/(B58+C58)</f>
        <v>#DIV/0!</v>
      </c>
      <c r="F74" s="49" t="s">
        <v>290</v>
      </c>
      <c r="G74" s="51" t="e">
        <f>FIXED(E74/100000000,6)</f>
        <v>#DIV/0!</v>
      </c>
      <c r="H74" s="49" t="s">
        <v>291</v>
      </c>
    </row>
    <row r="75" spans="1:39" x14ac:dyDescent="0.15">
      <c r="B75" s="128"/>
    </row>
    <row r="76" spans="1:39" x14ac:dyDescent="0.15">
      <c r="A76" s="49" t="s">
        <v>285</v>
      </c>
      <c r="B76" s="128"/>
      <c r="D76" s="129"/>
    </row>
    <row r="77" spans="1:39" x14ac:dyDescent="0.15">
      <c r="B77" s="130"/>
    </row>
    <row r="78" spans="1:39" ht="17.25" x14ac:dyDescent="0.25">
      <c r="B78" s="49" t="s">
        <v>292</v>
      </c>
    </row>
    <row r="79" spans="1:39" x14ac:dyDescent="0.15">
      <c r="B79" s="51" t="e">
        <f>"   = ( 2×"&amp;D40&amp;"×"&amp;FIXED(AM12/10000,3)&amp;"10^10×"&amp;G74&amp;"×"&amp;"10^(-13))^(1/4)="</f>
        <v>#DIV/0!</v>
      </c>
      <c r="H79" s="49" t="e">
        <f>FIXED((2*D40*AM12*1000000*G74*10^(-13))^(1/4),4)</f>
        <v>#DIV/0!</v>
      </c>
      <c r="I79" s="51" t="e">
        <f>"m = "&amp;H79*1000&amp;" mm"</f>
        <v>#DIV/0!</v>
      </c>
    </row>
    <row r="80" spans="1:39" x14ac:dyDescent="0.15">
      <c r="B80" s="128"/>
      <c r="F80" s="128"/>
    </row>
    <row r="81" spans="2:6" x14ac:dyDescent="0.15">
      <c r="B81" s="128"/>
      <c r="F81" s="128"/>
    </row>
    <row r="82" spans="2:6" x14ac:dyDescent="0.15">
      <c r="B82" s="128"/>
      <c r="F82" s="128"/>
    </row>
    <row r="83" spans="2:6" x14ac:dyDescent="0.15">
      <c r="B83" s="128"/>
    </row>
    <row r="84" spans="2:6" x14ac:dyDescent="0.15">
      <c r="B84" s="128"/>
    </row>
    <row r="85" spans="2:6" x14ac:dyDescent="0.15">
      <c r="B85" s="128"/>
    </row>
    <row r="86" spans="2:6" x14ac:dyDescent="0.15">
      <c r="B86" s="128"/>
    </row>
    <row r="87" spans="2:6" x14ac:dyDescent="0.15">
      <c r="B87" s="128"/>
    </row>
  </sheetData>
  <sheetProtection password="CC3E" sheet="1" objects="1" scenarios="1"/>
  <phoneticPr fontId="2"/>
  <pageMargins left="0.49" right="0.28000000000000003" top="0.74" bottom="0.76" header="0.51200000000000001" footer="0.51200000000000001"/>
  <pageSetup paperSize="9" scale="65" orientation="portrait" horizontalDpi="4294967292" verticalDpi="1200" r:id="rId1"/>
  <headerFooter alignWithMargins="0"/>
  <drawing r:id="rId2"/>
  <legacyDrawing r:id="rId3"/>
  <oleObjects>
    <mc:AlternateContent xmlns:mc="http://schemas.openxmlformats.org/markup-compatibility/2006">
      <mc:Choice Requires="x14">
        <oleObject progId="JWB32.Document" shapeId="3073" r:id="rId4">
          <objectPr defaultSize="0" autoLine="0" autoPict="0" r:id="rId5">
            <anchor moveWithCells="1">
              <from>
                <xdr:col>0</xdr:col>
                <xdr:colOff>19050</xdr:colOff>
                <xdr:row>60</xdr:row>
                <xdr:rowOff>76200</xdr:rowOff>
              </from>
              <to>
                <xdr:col>36</xdr:col>
                <xdr:colOff>228600</xdr:colOff>
                <xdr:row>69</xdr:row>
                <xdr:rowOff>95250</xdr:rowOff>
              </to>
            </anchor>
          </objectPr>
        </oleObject>
      </mc:Choice>
      <mc:Fallback>
        <oleObject progId="JWB32.Document" shapeId="3073" r:id="rId4"/>
      </mc:Fallback>
    </mc:AlternateContent>
    <mc:AlternateContent xmlns:mc="http://schemas.openxmlformats.org/markup-compatibility/2006">
      <mc:Choice Requires="x14">
        <oleObject progId="JWB32.Document" shapeId="3074" r:id="rId6">
          <objectPr defaultSize="0" autoLine="0" autoPict="0" r:id="rId7">
            <anchor moveWithCells="1">
              <from>
                <xdr:col>0</xdr:col>
                <xdr:colOff>0</xdr:colOff>
                <xdr:row>13</xdr:row>
                <xdr:rowOff>133350</xdr:rowOff>
              </from>
              <to>
                <xdr:col>36</xdr:col>
                <xdr:colOff>323850</xdr:colOff>
                <xdr:row>22</xdr:row>
                <xdr:rowOff>161925</xdr:rowOff>
              </to>
            </anchor>
          </objectPr>
        </oleObject>
      </mc:Choice>
      <mc:Fallback>
        <oleObject progId="JWB32.Document" shapeId="3074"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pageSetUpPr fitToPage="1"/>
  </sheetPr>
  <dimension ref="A1:AP46"/>
  <sheetViews>
    <sheetView showGridLines="0" zoomScale="70" zoomScaleNormal="70" zoomScaleSheetLayoutView="70" workbookViewId="0">
      <selection activeCell="A24" sqref="A24:XFD24"/>
    </sheetView>
  </sheetViews>
  <sheetFormatPr defaultColWidth="8.85546875" defaultRowHeight="15.6" customHeight="1" x14ac:dyDescent="0.2"/>
  <cols>
    <col min="1" max="1" width="1.42578125" style="7" customWidth="1"/>
    <col min="2" max="5" width="7.85546875" style="7" customWidth="1"/>
    <col min="6" max="13" width="8.7109375" style="7" customWidth="1"/>
    <col min="14" max="15" width="1.42578125" style="7" customWidth="1"/>
    <col min="16" max="31" width="5.85546875" style="7" customWidth="1"/>
    <col min="32" max="32" width="7.42578125" style="7" customWidth="1"/>
    <col min="33" max="33" width="1.42578125" style="7" customWidth="1"/>
    <col min="34" max="34" width="8.85546875" style="7" customWidth="1"/>
    <col min="35" max="38" width="5.28515625" style="7" customWidth="1"/>
    <col min="39" max="42" width="5.28515625" style="8" customWidth="1"/>
    <col min="43" max="52" width="5.28515625" style="7" customWidth="1"/>
    <col min="53" max="16384" width="8.85546875" style="7"/>
  </cols>
  <sheetData>
    <row r="1" spans="1:41" ht="7.9" customHeight="1" x14ac:dyDescent="0.2">
      <c r="A1" s="243"/>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5"/>
    </row>
    <row r="2" spans="1:41" ht="22.5" customHeight="1" x14ac:dyDescent="0.2">
      <c r="A2" s="246"/>
      <c r="B2" s="938" t="s">
        <v>427</v>
      </c>
      <c r="C2" s="939"/>
      <c r="D2" s="939"/>
      <c r="E2" s="939"/>
      <c r="F2" s="939"/>
      <c r="G2" s="939"/>
      <c r="H2" s="939"/>
      <c r="I2" s="939"/>
      <c r="J2" s="939"/>
      <c r="K2" s="939"/>
      <c r="L2" s="939"/>
      <c r="M2" s="939"/>
      <c r="N2" s="276"/>
      <c r="O2" s="276"/>
      <c r="P2" s="940">
        <f ca="1">TODAY()</f>
        <v>44951</v>
      </c>
      <c r="Q2" s="941"/>
      <c r="R2" s="941"/>
      <c r="S2" s="941"/>
      <c r="T2" s="941"/>
      <c r="U2" s="941"/>
      <c r="V2" s="941"/>
      <c r="W2" s="941"/>
      <c r="X2" s="941"/>
      <c r="Y2" s="941"/>
      <c r="Z2" s="941"/>
      <c r="AA2" s="941"/>
      <c r="AB2" s="941"/>
      <c r="AC2" s="941"/>
      <c r="AD2" s="941"/>
      <c r="AE2" s="941"/>
      <c r="AF2" s="942"/>
      <c r="AG2" s="247"/>
    </row>
    <row r="3" spans="1:41" ht="16.899999999999999" customHeight="1" x14ac:dyDescent="0.2">
      <c r="A3" s="246"/>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943"/>
      <c r="AF3" s="943"/>
      <c r="AG3" s="249"/>
    </row>
    <row r="4" spans="1:41" ht="19.5" customHeight="1" x14ac:dyDescent="0.2">
      <c r="A4" s="246"/>
      <c r="B4" s="944" t="s">
        <v>463</v>
      </c>
      <c r="C4" s="945"/>
      <c r="D4" s="945"/>
      <c r="E4" s="945"/>
      <c r="F4" s="945"/>
      <c r="G4" s="945"/>
      <c r="H4" s="945"/>
      <c r="I4" s="945"/>
      <c r="J4" s="945"/>
      <c r="K4" s="945"/>
      <c r="L4" s="945"/>
      <c r="M4" s="946"/>
      <c r="N4" s="248"/>
      <c r="O4" s="248"/>
      <c r="P4" s="250"/>
      <c r="Q4" s="250"/>
      <c r="R4" s="250"/>
      <c r="S4" s="250"/>
      <c r="T4" s="250"/>
      <c r="U4" s="250"/>
      <c r="V4" s="250"/>
      <c r="W4" s="250"/>
      <c r="X4" s="250"/>
      <c r="Y4" s="250"/>
      <c r="Z4" s="250"/>
      <c r="AA4" s="250"/>
      <c r="AB4" s="250"/>
      <c r="AC4" s="250"/>
      <c r="AD4" s="250"/>
      <c r="AE4" s="250"/>
      <c r="AF4" s="250"/>
      <c r="AG4" s="249"/>
    </row>
    <row r="5" spans="1:41" ht="18.75" customHeight="1" x14ac:dyDescent="0.2">
      <c r="A5" s="246"/>
      <c r="B5" s="947" t="s">
        <v>324</v>
      </c>
      <c r="C5" s="948"/>
      <c r="D5" s="948"/>
      <c r="E5" s="694" t="s">
        <v>438</v>
      </c>
      <c r="F5" s="930" t="str">
        <f>IF(INPUT!E2&lt;&gt;"",INPUT!E2,"")</f>
        <v/>
      </c>
      <c r="G5" s="930"/>
      <c r="H5" s="930"/>
      <c r="I5" s="930"/>
      <c r="J5" s="930"/>
      <c r="K5" s="930"/>
      <c r="L5" s="930"/>
      <c r="M5" s="931"/>
      <c r="N5" s="248"/>
      <c r="O5" s="248"/>
      <c r="P5" s="250"/>
      <c r="Q5" s="250"/>
      <c r="R5" s="250"/>
      <c r="S5" s="250"/>
      <c r="T5" s="250"/>
      <c r="U5" s="250"/>
      <c r="V5" s="250"/>
      <c r="W5" s="250"/>
      <c r="X5" s="250"/>
      <c r="Y5" s="250"/>
      <c r="Z5" s="250"/>
      <c r="AA5" s="250"/>
      <c r="AB5" s="250"/>
      <c r="AC5" s="250"/>
      <c r="AD5" s="250"/>
      <c r="AE5" s="250"/>
      <c r="AF5" s="250"/>
      <c r="AG5" s="249"/>
    </row>
    <row r="6" spans="1:41" ht="18.75" customHeight="1" x14ac:dyDescent="0.2">
      <c r="A6" s="246"/>
      <c r="B6" s="928" t="s">
        <v>325</v>
      </c>
      <c r="C6" s="929"/>
      <c r="D6" s="929"/>
      <c r="E6" s="695" t="s">
        <v>438</v>
      </c>
      <c r="F6" s="930" t="str">
        <f>IF(INPUT!E3&lt;&gt;"",INPUT!E3,"")</f>
        <v/>
      </c>
      <c r="G6" s="930"/>
      <c r="H6" s="930"/>
      <c r="I6" s="930"/>
      <c r="J6" s="930"/>
      <c r="K6" s="930"/>
      <c r="L6" s="930"/>
      <c r="M6" s="931"/>
      <c r="N6" s="248"/>
      <c r="O6" s="248"/>
      <c r="P6" s="250"/>
      <c r="Q6" s="250"/>
      <c r="R6" s="250"/>
      <c r="S6" s="250"/>
      <c r="T6" s="250"/>
      <c r="U6" s="250"/>
      <c r="V6" s="250"/>
      <c r="W6" s="250"/>
      <c r="X6" s="250"/>
      <c r="Y6" s="250"/>
      <c r="Z6" s="250"/>
      <c r="AA6" s="250"/>
      <c r="AB6" s="250"/>
      <c r="AC6" s="250"/>
      <c r="AD6" s="250"/>
      <c r="AE6" s="250"/>
      <c r="AF6" s="250"/>
      <c r="AG6" s="249"/>
    </row>
    <row r="7" spans="1:41" ht="18.75" customHeight="1" x14ac:dyDescent="0.2">
      <c r="A7" s="246"/>
      <c r="B7" s="928" t="s">
        <v>326</v>
      </c>
      <c r="C7" s="929"/>
      <c r="D7" s="929"/>
      <c r="E7" s="695" t="s">
        <v>438</v>
      </c>
      <c r="F7" s="930" t="str">
        <f>IF(INPUT!E4&lt;&gt;"",INPUT!E4,"")</f>
        <v/>
      </c>
      <c r="G7" s="930"/>
      <c r="H7" s="930"/>
      <c r="I7" s="930"/>
      <c r="J7" s="930"/>
      <c r="K7" s="930"/>
      <c r="L7" s="930"/>
      <c r="M7" s="931"/>
      <c r="N7" s="248"/>
      <c r="O7" s="248"/>
      <c r="P7" s="248"/>
      <c r="Q7" s="248"/>
      <c r="R7" s="248"/>
      <c r="S7" s="248"/>
      <c r="T7" s="248"/>
      <c r="U7" s="248"/>
      <c r="V7" s="248"/>
      <c r="W7" s="248"/>
      <c r="X7" s="248"/>
      <c r="Y7" s="248"/>
      <c r="Z7" s="248"/>
      <c r="AA7" s="248"/>
      <c r="AB7" s="248"/>
      <c r="AC7" s="248"/>
      <c r="AD7" s="248"/>
      <c r="AE7" s="248"/>
      <c r="AF7" s="248"/>
      <c r="AG7" s="249"/>
    </row>
    <row r="8" spans="1:41" ht="18.75" customHeight="1" x14ac:dyDescent="0.2">
      <c r="A8" s="246"/>
      <c r="B8" s="932" t="s">
        <v>91</v>
      </c>
      <c r="C8" s="933"/>
      <c r="D8" s="934" t="str">
        <f>IF(Calculation!Q13&lt;&gt;"",IF(Calculation!Q13=1,"均質単板スラブ",IF(Calculation!Q13=2,"矩形中空合成スラブ",IF(Calculation!Q13=3,"穴あきPC板合成スラブ",IF(Calculation!Q13=4,"ハーフPca合成スラブ",IF(Calculation!Q13=5,"円形中空スラブ",IF(Calculation!Q13=6,"波型中空合成スラブ",IF(Calculation!Q13=7,"波型中空スラブ","NG"))))))),"")</f>
        <v>波型中空合成スラブ</v>
      </c>
      <c r="E8" s="934"/>
      <c r="F8" s="934"/>
      <c r="G8" s="935"/>
      <c r="H8" s="936" t="s">
        <v>98</v>
      </c>
      <c r="I8" s="937"/>
      <c r="J8" s="687">
        <f>IF(INPUT!G52&lt;&gt;"",INPUT!G52,"")</f>
        <v>20</v>
      </c>
      <c r="K8" s="688" t="s">
        <v>439</v>
      </c>
      <c r="L8" s="688"/>
      <c r="M8" s="691"/>
      <c r="N8" s="248"/>
      <c r="O8" s="248"/>
      <c r="P8" s="248"/>
      <c r="Q8" s="248"/>
      <c r="R8" s="248"/>
      <c r="S8" s="248"/>
      <c r="T8" s="248"/>
      <c r="U8" s="248"/>
      <c r="V8" s="248"/>
      <c r="W8" s="248"/>
      <c r="X8" s="248"/>
      <c r="Y8" s="248"/>
      <c r="Z8" s="248"/>
      <c r="AA8" s="248"/>
      <c r="AB8" s="248"/>
      <c r="AC8" s="248"/>
      <c r="AD8" s="248"/>
      <c r="AE8" s="248"/>
      <c r="AF8" s="248"/>
      <c r="AG8" s="249"/>
    </row>
    <row r="9" spans="1:41" ht="18.75" customHeight="1" x14ac:dyDescent="0.2">
      <c r="A9" s="246"/>
      <c r="B9" s="932" t="s">
        <v>92</v>
      </c>
      <c r="C9" s="933"/>
      <c r="D9" s="257">
        <f>IF(Calculation!Q13&lt;&gt;"",Calculation!C86,"")</f>
        <v>140</v>
      </c>
      <c r="E9" s="256" t="s">
        <v>4</v>
      </c>
      <c r="F9" s="962" t="str">
        <f>IF($F$14="250Hz帯域","",IF($F$14="125Hz帯域","",IF($F$14="63Hz帯域",IF($D$9&gt;=150,IF($D$9&lt;=300,"","計算対象範囲外"),"計算対象範囲外"),IF($D$9&gt;=150,IF($D$9&lt;=320,"",IF($D$9&lt;=350,"参考値","計算対象範囲外")),"計算対象範囲外"))))</f>
        <v>計算対象範囲外</v>
      </c>
      <c r="G9" s="963"/>
      <c r="H9" s="955" t="s">
        <v>99</v>
      </c>
      <c r="I9" s="956"/>
      <c r="J9" s="687">
        <f>IF(INPUT!G52&lt;&gt;"",IF(INPUT!K52&lt;&gt;"",IF(INPUT!O52&lt;&gt;"",Calculation!B240,""),""),"")</f>
        <v>102.5</v>
      </c>
      <c r="K9" s="688" t="s">
        <v>439</v>
      </c>
      <c r="L9" s="688"/>
      <c r="M9" s="691"/>
      <c r="N9" s="248"/>
      <c r="O9" s="248"/>
      <c r="P9" s="248"/>
      <c r="Q9" s="248"/>
      <c r="R9" s="248"/>
      <c r="S9" s="248"/>
      <c r="T9" s="248"/>
      <c r="U9" s="248"/>
      <c r="V9" s="248"/>
      <c r="W9" s="248"/>
      <c r="X9" s="248"/>
      <c r="Y9" s="248"/>
      <c r="Z9" s="248"/>
      <c r="AA9" s="248"/>
      <c r="AB9" s="248"/>
      <c r="AC9" s="248"/>
      <c r="AD9" s="248"/>
      <c r="AE9" s="248"/>
      <c r="AF9" s="248"/>
      <c r="AG9" s="249"/>
    </row>
    <row r="10" spans="1:41" ht="18.75" customHeight="1" x14ac:dyDescent="0.2">
      <c r="A10" s="246"/>
      <c r="B10" s="932" t="s">
        <v>97</v>
      </c>
      <c r="C10" s="933"/>
      <c r="D10" s="257">
        <f>IF(D9&lt;&gt;"",Calculation!J86,"")</f>
        <v>146.6322265336799</v>
      </c>
      <c r="E10" s="573" t="s">
        <v>4</v>
      </c>
      <c r="F10" s="957" t="str">
        <f>IF(Calculation!I136=TRUE,"中間柱あり","")</f>
        <v/>
      </c>
      <c r="G10" s="958"/>
      <c r="H10" s="955" t="s">
        <v>100</v>
      </c>
      <c r="I10" s="956"/>
      <c r="J10" s="312">
        <f>IF(INPUT!O52&lt;&gt;"",INPUT!O52,"")</f>
        <v>2500</v>
      </c>
      <c r="K10" s="688" t="s">
        <v>4</v>
      </c>
      <c r="L10" s="688"/>
      <c r="M10" s="691"/>
      <c r="N10" s="248"/>
      <c r="O10" s="248"/>
      <c r="P10" s="248"/>
      <c r="Q10" s="248"/>
      <c r="R10" s="248"/>
      <c r="S10" s="248"/>
      <c r="T10" s="248"/>
      <c r="U10" s="248"/>
      <c r="V10" s="248"/>
      <c r="W10" s="248"/>
      <c r="X10" s="248"/>
      <c r="Y10" s="248"/>
      <c r="Z10" s="248"/>
      <c r="AA10" s="248"/>
      <c r="AB10" s="248"/>
      <c r="AC10" s="248"/>
      <c r="AD10" s="248"/>
      <c r="AE10" s="248"/>
      <c r="AF10" s="248"/>
      <c r="AG10" s="249"/>
    </row>
    <row r="11" spans="1:41" ht="18.75" customHeight="1" x14ac:dyDescent="0.2">
      <c r="A11" s="246"/>
      <c r="B11" s="959" t="s">
        <v>94</v>
      </c>
      <c r="C11" s="960"/>
      <c r="D11" s="258" t="s">
        <v>465</v>
      </c>
      <c r="E11" s="961">
        <f>IF(INPUT!C21&lt;&gt;"",INPUT!C21,"")</f>
        <v>8000</v>
      </c>
      <c r="F11" s="961"/>
      <c r="G11" s="259" t="s">
        <v>4</v>
      </c>
      <c r="H11" s="955" t="s">
        <v>101</v>
      </c>
      <c r="I11" s="956"/>
      <c r="J11" s="949" t="str">
        <f>IF(INPUT!E51&lt;&gt;"",Calculation!B235,"")</f>
        <v xml:space="preserve"> フローリング仕上げ</v>
      </c>
      <c r="K11" s="949"/>
      <c r="L11" s="949"/>
      <c r="M11" s="950"/>
      <c r="N11" s="248"/>
      <c r="O11" s="248"/>
      <c r="P11" s="248"/>
      <c r="Q11" s="248"/>
      <c r="R11" s="248"/>
      <c r="S11" s="248"/>
      <c r="T11" s="248"/>
      <c r="U11" s="248"/>
      <c r="V11" s="248"/>
      <c r="W11" s="248"/>
      <c r="X11" s="248"/>
      <c r="Y11" s="248"/>
      <c r="Z11" s="248"/>
      <c r="AA11" s="248"/>
      <c r="AB11" s="248"/>
      <c r="AC11" s="248"/>
      <c r="AD11" s="248"/>
      <c r="AE11" s="248"/>
      <c r="AF11" s="248"/>
      <c r="AG11" s="249"/>
      <c r="AN11" s="686"/>
    </row>
    <row r="12" spans="1:41" ht="18.75" customHeight="1" x14ac:dyDescent="0.2">
      <c r="A12" s="246"/>
      <c r="B12" s="964" t="str">
        <f>'Result_重量床衝撃音（範囲設定なし）'!B12</f>
        <v>中間柱有（x）</v>
      </c>
      <c r="C12" s="954"/>
      <c r="D12" s="695" t="s">
        <v>466</v>
      </c>
      <c r="E12" s="951">
        <f>IF(INPUT!C22&lt;&gt;"",INPUT!C22,"")</f>
        <v>9000</v>
      </c>
      <c r="F12" s="951"/>
      <c r="G12" s="262" t="s">
        <v>4</v>
      </c>
      <c r="H12" s="952" t="s">
        <v>102</v>
      </c>
      <c r="I12" s="949"/>
      <c r="J12" s="949"/>
      <c r="K12" s="949"/>
      <c r="L12" s="949"/>
      <c r="M12" s="950"/>
      <c r="N12" s="248"/>
      <c r="O12" s="248"/>
      <c r="P12" s="248"/>
      <c r="Q12" s="248"/>
      <c r="R12" s="248"/>
      <c r="S12" s="248"/>
      <c r="T12" s="248"/>
      <c r="U12" s="248"/>
      <c r="V12" s="248"/>
      <c r="W12" s="248"/>
      <c r="X12" s="248"/>
      <c r="Y12" s="248"/>
      <c r="Z12" s="248"/>
      <c r="AA12" s="248"/>
      <c r="AB12" s="248"/>
      <c r="AC12" s="248"/>
      <c r="AD12" s="248"/>
      <c r="AE12" s="248"/>
      <c r="AF12" s="248"/>
      <c r="AG12" s="249"/>
      <c r="AN12" s="574"/>
    </row>
    <row r="13" spans="1:41" ht="18.75" customHeight="1" x14ac:dyDescent="0.2">
      <c r="A13" s="246"/>
      <c r="B13" s="932" t="s">
        <v>96</v>
      </c>
      <c r="C13" s="933"/>
      <c r="D13" s="263">
        <f>IF(INPUT!H21&lt;&gt;"",Calculation!H173,"")</f>
        <v>72</v>
      </c>
      <c r="E13" s="688" t="s">
        <v>443</v>
      </c>
      <c r="F13" s="962" t="str">
        <f>IF(F14&lt;&gt;"125HHz帯域",IF(F14&lt;&gt;"250Hz帯域",IF($D$13&gt;86,"参考値",IF($D$13&lt;13,"参考値","")),""),"")</f>
        <v/>
      </c>
      <c r="G13" s="963"/>
      <c r="H13" s="333" t="s">
        <v>12</v>
      </c>
      <c r="I13" s="690" t="s">
        <v>51</v>
      </c>
      <c r="J13" s="690" t="s">
        <v>13</v>
      </c>
      <c r="K13" s="690" t="s">
        <v>14</v>
      </c>
      <c r="L13" s="689" t="s">
        <v>403</v>
      </c>
      <c r="M13" s="692" t="s">
        <v>123</v>
      </c>
      <c r="N13" s="248"/>
      <c r="O13" s="248"/>
      <c r="P13" s="248"/>
      <c r="Q13" s="248"/>
      <c r="R13" s="248"/>
      <c r="S13" s="248"/>
      <c r="T13" s="248"/>
      <c r="U13" s="248"/>
      <c r="V13" s="248"/>
      <c r="W13" s="248"/>
      <c r="X13" s="248"/>
      <c r="Y13" s="248"/>
      <c r="Z13" s="248"/>
      <c r="AA13" s="248"/>
      <c r="AB13" s="248"/>
      <c r="AC13" s="248"/>
      <c r="AD13" s="248"/>
      <c r="AE13" s="248"/>
      <c r="AF13" s="248"/>
      <c r="AG13" s="249"/>
    </row>
    <row r="14" spans="1:41" ht="18.75" customHeight="1" x14ac:dyDescent="0.2">
      <c r="A14" s="246"/>
      <c r="B14" s="953" t="s">
        <v>449</v>
      </c>
      <c r="C14" s="933"/>
      <c r="D14" s="263">
        <f>IF(D13&lt;&gt;"",IF(D10&lt;&gt;"NG",Calculation!H176,""),"")</f>
        <v>9.0106208852520506</v>
      </c>
      <c r="E14" s="688" t="s">
        <v>450</v>
      </c>
      <c r="F14" s="954" t="str">
        <f>IF(D14&lt;&gt;"",Calculation!O176,"")</f>
        <v>8Hz帯域</v>
      </c>
      <c r="G14" s="954"/>
      <c r="H14" s="693">
        <f>IF(INPUT!G55&lt;&gt;"-",INPUT!G55,"")</f>
        <v>0.09</v>
      </c>
      <c r="I14" s="310">
        <f>IF(INPUT!I55&lt;&gt;"-",INPUT!I55,"")</f>
        <v>0.09</v>
      </c>
      <c r="J14" s="310">
        <f>IF(INPUT!K55&lt;&gt;"-",INPUT!K55,"")</f>
        <v>0.08</v>
      </c>
      <c r="K14" s="310">
        <f>IF(INPUT!M55&lt;&gt;"-",INPUT!M55,"")</f>
        <v>7.0000000000000007E-2</v>
      </c>
      <c r="L14" s="310">
        <f>IF(INPUT!O55&lt;&gt;"-",INPUT!O55,"")</f>
        <v>7.0000000000000007E-2</v>
      </c>
      <c r="M14" s="311">
        <f>IF(INPUT!Q55&lt;&gt;"-",INPUT!Q55,"")</f>
        <v>0.08</v>
      </c>
      <c r="N14" s="248"/>
      <c r="O14" s="248"/>
      <c r="P14" s="248"/>
      <c r="Q14" s="248"/>
      <c r="R14" s="248"/>
      <c r="S14" s="248"/>
      <c r="T14" s="248"/>
      <c r="U14" s="248"/>
      <c r="V14" s="248"/>
      <c r="W14" s="248"/>
      <c r="X14" s="248"/>
      <c r="Y14" s="248"/>
      <c r="Z14" s="248"/>
      <c r="AA14" s="248"/>
      <c r="AB14" s="248"/>
      <c r="AC14" s="248"/>
      <c r="AD14" s="248"/>
      <c r="AE14" s="248"/>
      <c r="AF14" s="248"/>
      <c r="AG14" s="249"/>
      <c r="AN14" s="973"/>
      <c r="AO14" s="973"/>
    </row>
    <row r="15" spans="1:41" ht="16.899999999999999" customHeight="1" x14ac:dyDescent="0.2">
      <c r="A15" s="246"/>
      <c r="B15" s="264"/>
      <c r="C15" s="264"/>
      <c r="D15" s="683"/>
      <c r="E15" s="265"/>
      <c r="F15" s="266"/>
      <c r="G15" s="266"/>
      <c r="H15" s="267"/>
      <c r="I15" s="267"/>
      <c r="J15" s="267"/>
      <c r="K15" s="267"/>
      <c r="L15" s="267"/>
      <c r="M15" s="267"/>
      <c r="N15" s="248"/>
      <c r="O15" s="248"/>
      <c r="P15" s="250"/>
      <c r="Q15" s="250"/>
      <c r="R15" s="250"/>
      <c r="S15" s="250"/>
      <c r="T15" s="250"/>
      <c r="U15" s="250"/>
      <c r="V15" s="250"/>
      <c r="W15" s="250"/>
      <c r="X15" s="250"/>
      <c r="Y15" s="250"/>
      <c r="Z15" s="250"/>
      <c r="AA15" s="250"/>
      <c r="AB15" s="250"/>
      <c r="AC15" s="250"/>
      <c r="AD15" s="250"/>
      <c r="AE15" s="250"/>
      <c r="AF15" s="250"/>
      <c r="AG15" s="249"/>
      <c r="AN15" s="969"/>
      <c r="AO15" s="969"/>
    </row>
    <row r="16" spans="1:41" ht="19.5" customHeight="1" x14ac:dyDescent="0.2">
      <c r="A16" s="246"/>
      <c r="B16" s="944" t="s">
        <v>396</v>
      </c>
      <c r="C16" s="945"/>
      <c r="D16" s="945"/>
      <c r="E16" s="945"/>
      <c r="F16" s="945"/>
      <c r="G16" s="945"/>
      <c r="H16" s="945"/>
      <c r="I16" s="945"/>
      <c r="J16" s="945"/>
      <c r="K16" s="945"/>
      <c r="L16" s="945"/>
      <c r="M16" s="946"/>
      <c r="N16" s="248"/>
      <c r="O16" s="248"/>
      <c r="P16" s="250"/>
      <c r="Q16" s="250"/>
      <c r="R16" s="250"/>
      <c r="S16" s="250"/>
      <c r="T16" s="250"/>
      <c r="U16" s="250"/>
      <c r="V16" s="250"/>
      <c r="W16" s="250"/>
      <c r="X16" s="250"/>
      <c r="Y16" s="250"/>
      <c r="Z16" s="250"/>
      <c r="AA16" s="250"/>
      <c r="AB16" s="250"/>
      <c r="AC16" s="250"/>
      <c r="AD16" s="250"/>
      <c r="AE16" s="250"/>
      <c r="AF16" s="250"/>
      <c r="AG16" s="249"/>
      <c r="AN16" s="969"/>
      <c r="AO16" s="969"/>
    </row>
    <row r="17" spans="1:41" ht="18" customHeight="1" x14ac:dyDescent="0.2">
      <c r="A17" s="246"/>
      <c r="B17" s="974"/>
      <c r="C17" s="975"/>
      <c r="D17" s="975"/>
      <c r="E17" s="975"/>
      <c r="F17" s="976" t="s">
        <v>299</v>
      </c>
      <c r="G17" s="977"/>
      <c r="H17" s="978" t="s">
        <v>300</v>
      </c>
      <c r="I17" s="978"/>
      <c r="J17" s="976" t="s">
        <v>301</v>
      </c>
      <c r="K17" s="977"/>
      <c r="L17" s="976" t="s">
        <v>14</v>
      </c>
      <c r="M17" s="977"/>
      <c r="N17" s="248"/>
      <c r="O17" s="248"/>
      <c r="P17" s="250"/>
      <c r="Q17" s="250"/>
      <c r="R17" s="250"/>
      <c r="S17" s="250"/>
      <c r="T17" s="250"/>
      <c r="U17" s="250"/>
      <c r="V17" s="250"/>
      <c r="W17" s="250"/>
      <c r="X17" s="250"/>
      <c r="Y17" s="250"/>
      <c r="Z17" s="250"/>
      <c r="AA17" s="250"/>
      <c r="AB17" s="250"/>
      <c r="AC17" s="250"/>
      <c r="AD17" s="250"/>
      <c r="AE17" s="250"/>
      <c r="AF17" s="250"/>
      <c r="AG17" s="249"/>
      <c r="AN17" s="972"/>
      <c r="AO17" s="972"/>
    </row>
    <row r="18" spans="1:41" ht="18" customHeight="1" x14ac:dyDescent="0.2">
      <c r="A18" s="246"/>
      <c r="B18" s="965" t="s">
        <v>302</v>
      </c>
      <c r="C18" s="966"/>
      <c r="D18" s="966"/>
      <c r="E18" s="966"/>
      <c r="F18" s="967" t="str">
        <f>IF($F$14="8Hz帯域","-",IF($F$14="250Hz帯域","-",IF($F$14="125Hz帯域",'Result_重量床衝撃音（範囲設定なし）'!F18,IF($F$14="63Hz帯域",IF($D$9&gt;=150,IF($D$9&lt;=300,'Result_重量床衝撃音（範囲設定なし）'!F18,"-"),"-"),IF($D$9&gt;=150,IF($D$9&lt;=350,'Result_重量床衝撃音（範囲設定なし）'!F18,"-"),"-")))))</f>
        <v>-</v>
      </c>
      <c r="G18" s="968"/>
      <c r="H18" s="969" t="str">
        <f>IF($F$14="8Hz帯域","-",IF($F$14="250Hz帯域","-",IF($F$14="125Hz帯域",'Result_重量床衝撃音（範囲設定なし）'!H18,IF($F$14="63Hz帯域",IF($D$9&gt;=150,IF($D$9&lt;=300,'Result_重量床衝撃音（範囲設定なし）'!H18,"-"),"-"),IF($D$9&gt;=150,IF($D$9&lt;=350,'Result_重量床衝撃音（範囲設定なし）'!H18,"-"),"-")))))</f>
        <v>-</v>
      </c>
      <c r="I18" s="970"/>
      <c r="J18" s="971" t="str">
        <f>IF($F$14="8Hz帯域","-",IF($F$14="250Hz帯域","-",IF($F$14="125Hz帯域",'Result_重量床衝撃音（範囲設定なし）'!J18,IF($F$14="63Hz帯域",IF($D$9&gt;=150,IF($D$9&lt;=300,'Result_重量床衝撃音（範囲設定なし）'!J18,"-"),"-"),IF($D$9&gt;=150,IF($D$9&lt;=350,'Result_重量床衝撃音（範囲設定なし）'!J18,"-"),"-")))))</f>
        <v>-</v>
      </c>
      <c r="K18" s="970"/>
      <c r="L18" s="971" t="str">
        <f>IF($F$14="8Hz帯域","-",IF($F$14="250Hz帯域","-",IF($F$14="125Hz帯域",'Result_重量床衝撃音（範囲設定なし）'!L18,IF($F$14="63Hz帯域",IF($D$9&gt;=150,IF($D$9&lt;=300,'Result_重量床衝撃音（範囲設定なし）'!L18,"-"),"-"),IF($D$9&gt;=150,IF($D$9&lt;=350,'Result_重量床衝撃音（範囲設定なし）'!L18,"-"),"-")))))</f>
        <v>-</v>
      </c>
      <c r="M18" s="970"/>
      <c r="N18" s="248"/>
      <c r="O18" s="248"/>
      <c r="P18" s="250"/>
      <c r="Q18" s="250"/>
      <c r="R18" s="250"/>
      <c r="S18" s="250"/>
      <c r="T18" s="250"/>
      <c r="U18" s="250"/>
      <c r="V18" s="250"/>
      <c r="W18" s="250"/>
      <c r="X18" s="250"/>
      <c r="Y18" s="250"/>
      <c r="Z18" s="250"/>
      <c r="AA18" s="250"/>
      <c r="AB18" s="250"/>
      <c r="AC18" s="250"/>
      <c r="AD18" s="250"/>
      <c r="AE18" s="250"/>
      <c r="AF18" s="250"/>
      <c r="AG18" s="249"/>
      <c r="AN18" s="972"/>
      <c r="AO18" s="972"/>
    </row>
    <row r="19" spans="1:41" ht="18" customHeight="1" x14ac:dyDescent="0.2">
      <c r="A19" s="246"/>
      <c r="B19" s="979" t="s">
        <v>303</v>
      </c>
      <c r="C19" s="980"/>
      <c r="D19" s="980"/>
      <c r="E19" s="980"/>
      <c r="F19" s="967" t="str">
        <f>IF($F$14="8Hz帯域","-",IF($F$14="250Hz帯域","-",IF($F$14="125Hz帯域",'Result_重量床衝撃音（範囲設定なし）'!F19,IF($F$14="63Hz帯域",IF($D$9&gt;=150,IF($D$9&lt;=300,'Result_重量床衝撃音（範囲設定なし）'!F19,"-"),"-"),IF($D$9&gt;=150,IF($D$9&lt;=350,'Result_重量床衝撃音（範囲設定なし）'!F19,"-"),"-")))))</f>
        <v>-</v>
      </c>
      <c r="G19" s="968"/>
      <c r="H19" s="981" t="str">
        <f>IF($F$14="8Hz帯域","-",IF($F$14="250Hz帯域","-",IF($F$14="125Hz帯域",'Result_重量床衝撃音（範囲設定なし）'!H19,IF($F$14="63Hz帯域",IF($D$9&gt;=150,IF($D$9&lt;=300,'Result_重量床衝撃音（範囲設定なし）'!H19,"-"),"-"),IF($D$9&gt;=150,IF($D$9&lt;=350,'Result_重量床衝撃音（範囲設定なし）'!H19,"-"),"-")))))</f>
        <v>-</v>
      </c>
      <c r="I19" s="981"/>
      <c r="J19" s="967" t="str">
        <f>IF($F$14="8Hz帯域","-",IF($F$14="250Hz帯域","-",IF($F$14="125Hz帯域",'Result_重量床衝撃音（範囲設定なし）'!J19,IF($F$14="63Hz帯域",IF($D$9&gt;=150,IF($D$9&lt;=300,'Result_重量床衝撃音（範囲設定なし）'!J19,"-"),"-"),IF($D$9&gt;=150,IF($D$9&lt;=350,'Result_重量床衝撃音（範囲設定なし）'!J19,"-"),"-")))))</f>
        <v>-</v>
      </c>
      <c r="K19" s="968"/>
      <c r="L19" s="967" t="str">
        <f>IF($F$14="8Hz帯域","-",IF($F$14="250Hz帯域","-",IF($F$14="125Hz帯域",'Result_重量床衝撃音（範囲設定なし）'!L19,IF($F$14="63Hz帯域",IF($D$9&gt;=150,IF($D$9&lt;=300,'Result_重量床衝撃音（範囲設定なし）'!L19,"-"),"-"),IF($D$9&gt;=150,IF($D$9&lt;=350,'Result_重量床衝撃音（範囲設定なし）'!L19,"-"),"-")))))</f>
        <v>-</v>
      </c>
      <c r="M19" s="968"/>
      <c r="N19" s="248"/>
      <c r="O19" s="248"/>
      <c r="P19" s="250"/>
      <c r="Q19" s="250"/>
      <c r="R19" s="250"/>
      <c r="S19" s="250"/>
      <c r="T19" s="250"/>
      <c r="U19" s="250"/>
      <c r="V19" s="250"/>
      <c r="W19" s="250"/>
      <c r="X19" s="250"/>
      <c r="Y19" s="250"/>
      <c r="Z19" s="250"/>
      <c r="AA19" s="250"/>
      <c r="AB19" s="250"/>
      <c r="AC19" s="250"/>
      <c r="AD19" s="250"/>
      <c r="AE19" s="250"/>
      <c r="AF19" s="250"/>
      <c r="AG19" s="249"/>
    </row>
    <row r="20" spans="1:41" ht="18" customHeight="1" x14ac:dyDescent="0.2">
      <c r="A20" s="246"/>
      <c r="B20" s="982" t="s">
        <v>452</v>
      </c>
      <c r="C20" s="982"/>
      <c r="D20" s="982"/>
      <c r="E20" s="331" t="s">
        <v>15</v>
      </c>
      <c r="F20" s="983" t="str">
        <f>IF($F$14="8Hz帯域","-",IF($F$14="250Hz帯域","-",IF($F$14="125Hz帯域",'Result_重量床衝撃音（範囲設定なし）'!F20,IF($F$14="63Hz帯域",IF($D$9&gt;=150,IF($D$9&lt;=300,'Result_重量床衝撃音（範囲設定なし）'!F20,"-"),"-"),IF($D$9&gt;=150,IF($D$9&lt;=350,'Result_重量床衝撃音（範囲設定なし）'!F20,"-"),"-")))))</f>
        <v>-</v>
      </c>
      <c r="G20" s="984"/>
      <c r="H20" s="985" t="str">
        <f>IF($F$14="8Hz帯域","-",IF($F$14="250Hz帯域","-",IF($F$14="125Hz帯域",'Result_重量床衝撃音（範囲設定なし）'!H20,IF($F$14="63Hz帯域",IF($D$9&gt;=150,IF($D$9&lt;=300,'Result_重量床衝撃音（範囲設定なし）'!H20,"-"),"-"),IF($D$9&gt;=150,IF($D$9&lt;=350,'Result_重量床衝撃音（範囲設定なし）'!H20,"-"),"-")))))</f>
        <v>-</v>
      </c>
      <c r="I20" s="984"/>
      <c r="J20" s="986" t="str">
        <f>IF($F$14="8Hz帯域","-",IF($F$14="250Hz帯域","-",IF($F$14="125Hz帯域",'Result_重量床衝撃音（範囲設定なし）'!J20,IF($F$14="63Hz帯域",IF($D$9&gt;=150,IF($D$9&lt;=300,'Result_重量床衝撃音（範囲設定なし）'!J20,"-"),"-"),IF($D$9&gt;=150,IF($D$9&lt;=350,'Result_重量床衝撃音（範囲設定なし）'!J20,"-"),"-")))))</f>
        <v>-</v>
      </c>
      <c r="K20" s="986"/>
      <c r="L20" s="986" t="str">
        <f>IF($F$14="8Hz帯域","-",IF($F$14="250Hz帯域","-",IF($F$14="125Hz帯域",'Result_重量床衝撃音（範囲設定なし）'!L20,IF($F$14="63Hz帯域",IF($D$9&gt;=150,IF($D$9&lt;=300,'Result_重量床衝撃音（範囲設定なし）'!L20,"-"),"-"),IF($D$9&gt;=150,IF($D$9&lt;=350,'Result_重量床衝撃音（範囲設定なし）'!L20,"-"),"-")))))</f>
        <v>-</v>
      </c>
      <c r="M20" s="986"/>
      <c r="N20" s="248"/>
      <c r="O20" s="248"/>
      <c r="P20" s="250"/>
      <c r="Q20" s="250"/>
      <c r="R20" s="250"/>
      <c r="S20" s="250"/>
      <c r="T20" s="250"/>
      <c r="U20" s="250"/>
      <c r="V20" s="250"/>
      <c r="W20" s="250"/>
      <c r="X20" s="250"/>
      <c r="Y20" s="250"/>
      <c r="Z20" s="250"/>
      <c r="AA20" s="250"/>
      <c r="AB20" s="250"/>
      <c r="AC20" s="250"/>
      <c r="AD20" s="250"/>
      <c r="AE20" s="250"/>
      <c r="AF20" s="250"/>
      <c r="AG20" s="249"/>
    </row>
    <row r="21" spans="1:41" ht="18" customHeight="1" x14ac:dyDescent="0.2">
      <c r="A21" s="246"/>
      <c r="B21" s="982"/>
      <c r="C21" s="982"/>
      <c r="D21" s="982"/>
      <c r="E21" s="684" t="s">
        <v>40</v>
      </c>
      <c r="F21" s="987" t="str">
        <f>IF($F$14="8Hz帯域","-",IF($F$14="250Hz帯域","-",IF($F$14="125Hz帯域",'Result_重量床衝撃音（範囲設定なし）'!F21,IF($F$14="63Hz帯域",IF($D$9&gt;=150,IF($D$9&lt;=300,'Result_重量床衝撃音（範囲設定なし）'!F21,"-"),"-"),IF($D$9&gt;=150,IF($D$9&lt;=350,'Result_重量床衝撃音（範囲設定なし）'!F21,"-"),"-")))))</f>
        <v>-</v>
      </c>
      <c r="G21" s="988"/>
      <c r="H21" s="988" t="str">
        <f>IF($F$14="8Hz帯域","-",IF($F$14="250Hz帯域","-",IF($F$14="125Hz帯域",'Result_重量床衝撃音（範囲設定なし）'!H21,IF($F$14="63Hz帯域",IF($D$9&gt;=150,IF($D$9&lt;=300,'Result_重量床衝撃音（範囲設定なし）'!H21,"-"),"-"),IF($D$9&gt;=150,IF($D$9&lt;=350,'Result_重量床衝撃音（範囲設定なし）'!H21,"-"),"-")))))</f>
        <v>-</v>
      </c>
      <c r="I21" s="989"/>
      <c r="J21" s="989" t="str">
        <f>IF($F$14="8Hz帯域","-",IF($F$14="250Hz帯域","-",IF($F$14="125Hz帯域",'Result_重量床衝撃音（範囲設定なし）'!J21,IF($F$14="63Hz帯域",IF($D$9&gt;=150,IF($D$9&lt;=300,'Result_重量床衝撃音（範囲設定なし）'!J21,"-"),"-"),IF($D$9&gt;=150,IF($D$9&lt;=350,'Result_重量床衝撃音（範囲設定なし）'!J21,"-"),"-")))))</f>
        <v>-</v>
      </c>
      <c r="K21" s="989"/>
      <c r="L21" s="989" t="str">
        <f>IF($F$14="8Hz帯域","-",IF($F$14="250Hz帯域","-",IF($F$14="125Hz帯域",'Result_重量床衝撃音（範囲設定なし）'!L21,IF($F$14="63Hz帯域",IF($D$9&gt;=150,IF($D$9&lt;=300,'Result_重量床衝撃音（範囲設定なし）'!L21,"-"),"-"),IF($D$9&gt;=150,IF($D$9&lt;=350,'Result_重量床衝撃音（範囲設定なし）'!L21,"-"),"-")))))</f>
        <v>-</v>
      </c>
      <c r="M21" s="989"/>
      <c r="N21" s="248"/>
      <c r="O21" s="248"/>
      <c r="P21" s="250"/>
      <c r="Q21" s="250"/>
      <c r="R21" s="250"/>
      <c r="S21" s="250"/>
      <c r="T21" s="250"/>
      <c r="U21" s="250"/>
      <c r="V21" s="250"/>
      <c r="W21" s="250"/>
      <c r="X21" s="250"/>
      <c r="Y21" s="250"/>
      <c r="Z21" s="250"/>
      <c r="AA21" s="250"/>
      <c r="AB21" s="250"/>
      <c r="AC21" s="250"/>
      <c r="AD21" s="250"/>
      <c r="AE21" s="250"/>
      <c r="AF21" s="250"/>
      <c r="AG21" s="249"/>
    </row>
    <row r="22" spans="1:41" ht="18" customHeight="1" x14ac:dyDescent="0.2">
      <c r="A22" s="246"/>
      <c r="B22" s="982"/>
      <c r="C22" s="982"/>
      <c r="D22" s="982"/>
      <c r="E22" s="684" t="s">
        <v>41</v>
      </c>
      <c r="F22" s="987" t="str">
        <f>IF($F$14="8Hz帯域","-",IF($F$14="250Hz帯域","-",IF($F$14="125Hz帯域",'Result_重量床衝撃音（範囲設定なし）'!F22,IF($F$14="63Hz帯域",IF($D$9&gt;=150,IF($D$9&lt;=300,'Result_重量床衝撃音（範囲設定なし）'!F22,"-"),"-"),IF($D$9&gt;=150,IF($D$9&lt;=350,'Result_重量床衝撃音（範囲設定なし）'!F22,"-"),"-")))))</f>
        <v>-</v>
      </c>
      <c r="G22" s="988"/>
      <c r="H22" s="988" t="str">
        <f>IF($F$14="8Hz帯域","-",IF($F$14="250Hz帯域","-",IF($F$14="125Hz帯域",'Result_重量床衝撃音（範囲設定なし）'!H22,IF($F$14="63Hz帯域",IF($D$9&gt;=150,IF($D$9&lt;=300,'Result_重量床衝撃音（範囲設定なし）'!H22,"-"),"-"),IF($D$9&gt;=150,IF($D$9&lt;=350,'Result_重量床衝撃音（範囲設定なし）'!H22,"-"),"-")))))</f>
        <v>-</v>
      </c>
      <c r="I22" s="989"/>
      <c r="J22" s="989" t="str">
        <f>IF($F$14="8Hz帯域","-",IF($F$14="250Hz帯域","-",IF($F$14="125Hz帯域",'Result_重量床衝撃音（範囲設定なし）'!J22,IF($F$14="63Hz帯域",IF($D$9&gt;=150,IF($D$9&lt;=300,'Result_重量床衝撃音（範囲設定なし）'!J22,"-"),"-"),IF($D$9&gt;=150,IF($D$9&lt;=350,'Result_重量床衝撃音（範囲設定なし）'!J22,"-"),"-")))))</f>
        <v>-</v>
      </c>
      <c r="K22" s="989"/>
      <c r="L22" s="989" t="str">
        <f>IF($F$14="8Hz帯域","-",IF($F$14="250Hz帯域","-",IF($F$14="125Hz帯域",'Result_重量床衝撃音（範囲設定なし）'!L22,IF($F$14="63Hz帯域",IF($D$9&gt;=150,IF($D$9&lt;=300,'Result_重量床衝撃音（範囲設定なし）'!L22,"-"),"-"),IF($D$9&gt;=150,IF($D$9&lt;=350,'Result_重量床衝撃音（範囲設定なし）'!L22,"-"),"-")))))</f>
        <v>-</v>
      </c>
      <c r="M22" s="989"/>
      <c r="N22" s="248"/>
      <c r="O22" s="248"/>
      <c r="P22" s="250"/>
      <c r="Q22" s="250"/>
      <c r="R22" s="250"/>
      <c r="S22" s="250"/>
      <c r="T22" s="250"/>
      <c r="U22" s="250"/>
      <c r="V22" s="250"/>
      <c r="W22" s="250"/>
      <c r="X22" s="250"/>
      <c r="Y22" s="250"/>
      <c r="Z22" s="250"/>
      <c r="AA22" s="250"/>
      <c r="AB22" s="250"/>
      <c r="AC22" s="250"/>
      <c r="AD22" s="250"/>
      <c r="AE22" s="250"/>
      <c r="AF22" s="250"/>
      <c r="AG22" s="249"/>
    </row>
    <row r="23" spans="1:41" ht="18" customHeight="1" x14ac:dyDescent="0.2">
      <c r="A23" s="246"/>
      <c r="B23" s="982"/>
      <c r="C23" s="982"/>
      <c r="D23" s="982"/>
      <c r="E23" s="684" t="s">
        <v>113</v>
      </c>
      <c r="F23" s="987" t="str">
        <f>IF($F$14="8Hz帯域","-",IF($F$14="250Hz帯域","-",IF($F$14="125Hz帯域",'Result_重量床衝撃音（範囲設定なし）'!F23,IF($F$14="63Hz帯域",IF($D$9&gt;=150,IF($D$9&lt;=300,'Result_重量床衝撃音（範囲設定なし）'!F23,"-"),"-"),IF($D$9&gt;=150,IF($D$9&lt;=350,'Result_重量床衝撃音（範囲設定なし）'!F23,"-"),"-")))))</f>
        <v>-</v>
      </c>
      <c r="G23" s="988"/>
      <c r="H23" s="988" t="str">
        <f>IF($F$14="8Hz帯域","-",IF($F$14="250Hz帯域","-",IF($F$14="125Hz帯域",'Result_重量床衝撃音（範囲設定なし）'!H23,IF($F$14="63Hz帯域",IF($D$9&gt;=150,IF($D$9&lt;=300,'Result_重量床衝撃音（範囲設定なし）'!H23,"-"),"-"),IF($D$9&gt;=150,IF($D$9&lt;=350,'Result_重量床衝撃音（範囲設定なし）'!H23,"-"),"-")))))</f>
        <v>-</v>
      </c>
      <c r="I23" s="989"/>
      <c r="J23" s="989" t="str">
        <f>IF($F$14="8Hz帯域","-",IF($F$14="250Hz帯域","-",IF($F$14="125Hz帯域",'Result_重量床衝撃音（範囲設定なし）'!J23,IF($F$14="63Hz帯域",IF($D$9&gt;=150,IF($D$9&lt;=300,'Result_重量床衝撃音（範囲設定なし）'!J23,"-"),"-"),IF($D$9&gt;=150,IF($D$9&lt;=350,'Result_重量床衝撃音（範囲設定なし）'!J23,"-"),"-")))))</f>
        <v>-</v>
      </c>
      <c r="K23" s="989"/>
      <c r="L23" s="989" t="str">
        <f>IF($F$14="8Hz帯域","-",IF($F$14="250Hz帯域","-",IF($F$14="125Hz帯域",'Result_重量床衝撃音（範囲設定なし）'!L23,IF($F$14="63Hz帯域",IF($D$9&gt;=150,IF($D$9&lt;=300,'Result_重量床衝撃音（範囲設定なし）'!L23,"-"),"-"),IF($D$9&gt;=150,IF($D$9&lt;=350,'Result_重量床衝撃音（範囲設定なし）'!L23,"-"),"-")))))</f>
        <v>-</v>
      </c>
      <c r="M23" s="989"/>
      <c r="N23" s="248"/>
      <c r="O23" s="248"/>
      <c r="P23" s="250"/>
      <c r="Q23" s="250"/>
      <c r="R23" s="250"/>
      <c r="S23" s="250"/>
      <c r="T23" s="250"/>
      <c r="U23" s="250"/>
      <c r="V23" s="250"/>
      <c r="W23" s="250"/>
      <c r="X23" s="250"/>
      <c r="Y23" s="250"/>
      <c r="Z23" s="250"/>
      <c r="AA23" s="250"/>
      <c r="AB23" s="250"/>
      <c r="AC23" s="250"/>
      <c r="AD23" s="250"/>
      <c r="AE23" s="250"/>
      <c r="AF23" s="250"/>
      <c r="AG23" s="249"/>
    </row>
    <row r="24" spans="1:41" ht="18" customHeight="1" x14ac:dyDescent="0.2">
      <c r="A24" s="246"/>
      <c r="B24" s="982"/>
      <c r="C24" s="982"/>
      <c r="D24" s="982"/>
      <c r="E24" s="685" t="s">
        <v>114</v>
      </c>
      <c r="F24" s="990" t="str">
        <f>IF($F$14="8Hz帯域","-",IF($F$14="250Hz帯域","-",IF($F$14="125Hz帯域",'Result_重量床衝撃音（範囲設定なし）'!F24,IF($F$14="63Hz帯域",IF($D$9&gt;=150,IF($D$9&lt;=300,'Result_重量床衝撃音（範囲設定なし）'!F24,"-"),"-"),IF($D$9&gt;=150,IF($D$9&lt;=350,'Result_重量床衝撃音（範囲設定なし）'!F24,"-"),"-")))))</f>
        <v>-</v>
      </c>
      <c r="G24" s="991"/>
      <c r="H24" s="991" t="str">
        <f>IF($F$14="8Hz帯域","-",IF($F$14="250Hz帯域","-",IF($F$14="125Hz帯域",'Result_重量床衝撃音（範囲設定なし）'!H24,IF($F$14="63Hz帯域",IF($D$9&gt;=150,IF($D$9&lt;=300,'Result_重量床衝撃音（範囲設定なし）'!H24,"-"),"-"),IF($D$9&gt;=150,IF($D$9&lt;=350,'Result_重量床衝撃音（範囲設定なし）'!H24,"-"),"-")))))</f>
        <v>-</v>
      </c>
      <c r="I24" s="992"/>
      <c r="J24" s="992" t="str">
        <f>IF($F$14="8Hz帯域","-",IF($F$14="250Hz帯域","-",IF($F$14="125Hz帯域",'Result_重量床衝撃音（範囲設定なし）'!J24,IF($F$14="63Hz帯域",IF($D$9&gt;=150,IF($D$9&lt;=300,'Result_重量床衝撃音（範囲設定なし）'!J24,"-"),"-"),IF($D$9&gt;=150,IF($D$9&lt;=350,'Result_重量床衝撃音（範囲設定なし）'!J24,"-"),"-")))))</f>
        <v>-</v>
      </c>
      <c r="K24" s="992"/>
      <c r="L24" s="992" t="str">
        <f>IF($F$14="8Hz帯域","-",IF($F$14="250Hz帯域","-",IF($F$14="125Hz帯域",'Result_重量床衝撃音（範囲設定なし）'!L24,IF($F$14="63Hz帯域",IF($D$9&gt;=150,IF($D$9&lt;=300,'Result_重量床衝撃音（範囲設定なし）'!L24,"-"),"-"),IF($D$9&gt;=150,IF($D$9&lt;=350,'Result_重量床衝撃音（範囲設定なし）'!L24,"-"),"-")))))</f>
        <v>-</v>
      </c>
      <c r="M24" s="992"/>
      <c r="N24" s="248"/>
      <c r="O24" s="248"/>
      <c r="P24" s="250"/>
      <c r="Q24" s="250"/>
      <c r="R24" s="250"/>
      <c r="S24" s="250"/>
      <c r="T24" s="250"/>
      <c r="U24" s="250"/>
      <c r="V24" s="250"/>
      <c r="W24" s="250"/>
      <c r="X24" s="250"/>
      <c r="Y24" s="250"/>
      <c r="Z24" s="250"/>
      <c r="AA24" s="250"/>
      <c r="AB24" s="250"/>
      <c r="AC24" s="250"/>
      <c r="AD24" s="250"/>
      <c r="AE24" s="250"/>
      <c r="AF24" s="250"/>
      <c r="AG24" s="249"/>
    </row>
    <row r="25" spans="1:41" ht="18" customHeight="1" x14ac:dyDescent="0.2">
      <c r="A25" s="246"/>
      <c r="B25" s="979" t="s">
        <v>606</v>
      </c>
      <c r="C25" s="980"/>
      <c r="D25" s="980"/>
      <c r="E25" s="980"/>
      <c r="F25" s="993" t="str">
        <f>IF($F$14="8Hz帯域","-",IF($F$14="250Hz帯域","-",IF($F$14="125Hz帯域",'Result_重量床衝撃音（範囲設定なし）'!F25,IF($F$14="63Hz帯域",IF($D$9&gt;=150,IF($D$9&lt;=300,'Result_重量床衝撃音（範囲設定なし）'!F25,"-"),"-"),IF($D$9&gt;=150,IF($D$9&lt;=350,'Result_重量床衝撃音（範囲設定なし）'!F25,"-"),"-")))))</f>
        <v>-</v>
      </c>
      <c r="G25" s="994"/>
      <c r="H25" s="995" t="str">
        <f>IF($F$14="8Hz帯域","-",IF($F$14="250Hz帯域","-",IF($F$14="125Hz帯域",'Result_重量床衝撃音（範囲設定なし）'!H25,IF($F$14="63Hz帯域",IF($D$9&gt;=150,IF($D$9&lt;=300,'Result_重量床衝撃音（範囲設定なし）'!H25,"-"),"-"),IF($D$9&gt;=150,IF($D$9&lt;=350,'Result_重量床衝撃音（範囲設定なし）'!H25,"-"),"-")))))</f>
        <v>-</v>
      </c>
      <c r="I25" s="994"/>
      <c r="J25" s="993" t="str">
        <f>IF($F$14="8Hz帯域","-",IF($F$14="250Hz帯域","-",IF($F$14="125Hz帯域",'Result_重量床衝撃音（範囲設定なし）'!J25,IF($F$14="63Hz帯域",IF($D$9&gt;=150,IF($D$9&lt;=300,'Result_重量床衝撃音（範囲設定なし）'!J25,"-"),"-"),IF($D$9&gt;=150,IF($D$9&lt;=350,'Result_重量床衝撃音（範囲設定なし）'!J25,"-"),"-")))))</f>
        <v>-</v>
      </c>
      <c r="K25" s="994"/>
      <c r="L25" s="993" t="str">
        <f>IF($F$14="8Hz帯域","-",IF($F$14="250Hz帯域","-",IF($F$14="125Hz帯域",'Result_重量床衝撃音（範囲設定なし）'!L25,IF($F$14="63Hz帯域",IF($D$9&gt;=150,IF($D$9&lt;=300,'Result_重量床衝撃音（範囲設定なし）'!L25,"-"),"-"),IF($D$9&gt;=150,IF($D$9&lt;=350,'Result_重量床衝撃音（範囲設定なし）'!L25,"-"),"-")))))</f>
        <v>-</v>
      </c>
      <c r="M25" s="994"/>
      <c r="N25" s="248"/>
      <c r="O25" s="248"/>
      <c r="P25" s="250"/>
      <c r="Q25" s="250"/>
      <c r="R25" s="250"/>
      <c r="S25" s="250"/>
      <c r="T25" s="250"/>
      <c r="U25" s="250"/>
      <c r="V25" s="250"/>
      <c r="W25" s="250"/>
      <c r="X25" s="250"/>
      <c r="Y25" s="250"/>
      <c r="Z25" s="250"/>
      <c r="AA25" s="250"/>
      <c r="AB25" s="250"/>
      <c r="AC25" s="250"/>
      <c r="AD25" s="250"/>
      <c r="AE25" s="250"/>
      <c r="AF25" s="250"/>
      <c r="AG25" s="249"/>
    </row>
    <row r="26" spans="1:41" ht="18" customHeight="1" x14ac:dyDescent="0.2">
      <c r="A26" s="246"/>
      <c r="B26" s="996" t="s">
        <v>451</v>
      </c>
      <c r="C26" s="997"/>
      <c r="D26" s="998"/>
      <c r="E26" s="331" t="s">
        <v>15</v>
      </c>
      <c r="F26" s="1005" t="str">
        <f>IF($F$14="8Hz帯域","-",IF($F$14="250Hz帯域","-",IF($F$14="125Hz帯域",'Result_重量床衝撃音（範囲設定なし）'!F26,IF($F$14="63Hz帯域",IF($D$9&gt;=150,IF($D$9&lt;=300,'Result_重量床衝撃音（範囲設定なし）'!F26,"-"),"-"),IF($D$9&gt;=150,IF($D$9&lt;=350,'Result_重量床衝撃音（範囲設定なし）'!F26,"-"),"-")))))</f>
        <v>-</v>
      </c>
      <c r="G26" s="1006"/>
      <c r="H26" s="1007" t="str">
        <f>IF($F$14="8Hz帯域","-",IF($F$14="250Hz帯域","-",IF($F$14="125Hz帯域",'Result_重量床衝撃音（範囲設定なし）'!H26,IF($F$14="63Hz帯域",IF($D$9&gt;=150,IF($D$9&lt;=300,'Result_重量床衝撃音（範囲設定なし）'!H26,"-"),"-"),IF($D$9&gt;=150,IF($D$9&lt;=350,'Result_重量床衝撃音（範囲設定なし）'!H26,"-"),"-")))))</f>
        <v>-</v>
      </c>
      <c r="I26" s="1008"/>
      <c r="J26" s="1005" t="str">
        <f>IF($F$14="8Hz帯域","-",IF($F$14="250Hz帯域","-",IF($F$14="125Hz帯域",'Result_重量床衝撃音（範囲設定なし）'!J26,IF($F$14="63Hz帯域",IF($D$9&gt;=150,IF($D$9&lt;=300,'Result_重量床衝撃音（範囲設定なし）'!J26,"-"),"-"),IF($D$9&gt;=150,IF($D$9&lt;=350,'Result_重量床衝撃音（範囲設定なし）'!J26,"-"),"-")))))</f>
        <v>-</v>
      </c>
      <c r="K26" s="1008"/>
      <c r="L26" s="1005" t="str">
        <f>IF($F$14="8Hz帯域","-",IF($F$14="250Hz帯域","-",IF($F$14="125Hz帯域",'Result_重量床衝撃音（範囲設定なし）'!L26,IF($F$14="63Hz帯域",IF($D$9&gt;=150,IF($D$9&lt;=300,'Result_重量床衝撃音（範囲設定なし）'!L26,"-"),"-"),IF($D$9&gt;=150,IF($D$9&lt;=350,'Result_重量床衝撃音（範囲設定なし）'!L26,"-"),"-")))))</f>
        <v>-</v>
      </c>
      <c r="M26" s="1008"/>
      <c r="N26" s="248"/>
      <c r="O26" s="248"/>
      <c r="P26" s="250"/>
      <c r="Q26" s="250"/>
      <c r="R26" s="250"/>
      <c r="S26" s="250"/>
      <c r="T26" s="250"/>
      <c r="U26" s="250"/>
      <c r="V26" s="250"/>
      <c r="W26" s="250"/>
      <c r="X26" s="250"/>
      <c r="Y26" s="250"/>
      <c r="Z26" s="250"/>
      <c r="AA26" s="250"/>
      <c r="AB26" s="250"/>
      <c r="AC26" s="250"/>
      <c r="AD26" s="250"/>
      <c r="AE26" s="250"/>
      <c r="AF26" s="250"/>
      <c r="AG26" s="249"/>
    </row>
    <row r="27" spans="1:41" ht="18" customHeight="1" x14ac:dyDescent="0.2">
      <c r="A27" s="246"/>
      <c r="B27" s="999"/>
      <c r="C27" s="1000"/>
      <c r="D27" s="1001"/>
      <c r="E27" s="684" t="s">
        <v>304</v>
      </c>
      <c r="F27" s="971" t="str">
        <f>IF($F$14="8Hz帯域","-",IF($F$14="250Hz帯域","-",IF($F$14="125Hz帯域",'Result_重量床衝撃音（範囲設定なし）'!F27,IF($F$14="63Hz帯域",IF($D$9&gt;=150,IF($D$9&lt;=300,'Result_重量床衝撃音（範囲設定なし）'!F27,"-"),"-"),IF($D$9&gt;=150,IF($D$9&lt;=350,'Result_重量床衝撃音（範囲設定なし）'!F27,"-"),"-")))))</f>
        <v>-</v>
      </c>
      <c r="G27" s="970"/>
      <c r="H27" s="969" t="str">
        <f>IF($F$14="8Hz帯域","-",IF($F$14="250Hz帯域","-",IF($F$14="125Hz帯域",'Result_重量床衝撃音（範囲設定なし）'!H27,IF($F$14="63Hz帯域",IF($D$9&gt;=150,IF($D$9&lt;=300,'Result_重量床衝撃音（範囲設定なし）'!H27,"-"),"-"),IF($D$9&gt;=150,IF($D$9&lt;=350,'Result_重量床衝撃音（範囲設定なし）'!H27,"-"),"-")))))</f>
        <v>-</v>
      </c>
      <c r="I27" s="1009"/>
      <c r="J27" s="971" t="str">
        <f>IF($F$14="8Hz帯域","-",IF($F$14="250Hz帯域","-",IF($F$14="125Hz帯域",'Result_重量床衝撃音（範囲設定なし）'!J27,IF($F$14="63Hz帯域",IF($D$9&gt;=150,IF($D$9&lt;=300,'Result_重量床衝撃音（範囲設定なし）'!J27,"-"),"-"),IF($D$9&gt;=150,IF($D$9&lt;=350,'Result_重量床衝撃音（範囲設定なし）'!J27,"-"),"-")))))</f>
        <v>-</v>
      </c>
      <c r="K27" s="1009"/>
      <c r="L27" s="971" t="str">
        <f>IF($F$14="8Hz帯域","-",IF($F$14="250Hz帯域","-",IF($F$14="125Hz帯域",'Result_重量床衝撃音（範囲設定なし）'!L27,IF($F$14="63Hz帯域",IF($D$9&gt;=150,IF($D$9&lt;=300,'Result_重量床衝撃音（範囲設定なし）'!L27,"-"),"-"),IF($D$9&gt;=150,IF($D$9&lt;=350,'Result_重量床衝撃音（範囲設定なし）'!L27,"-"),"-")))))</f>
        <v>-</v>
      </c>
      <c r="M27" s="1009"/>
      <c r="N27" s="248"/>
      <c r="O27" s="248"/>
      <c r="P27" s="250"/>
      <c r="Q27" s="250"/>
      <c r="R27" s="250"/>
      <c r="S27" s="250"/>
      <c r="T27" s="250"/>
      <c r="U27" s="250"/>
      <c r="V27" s="250"/>
      <c r="W27" s="250"/>
      <c r="X27" s="250"/>
      <c r="Y27" s="250"/>
      <c r="Z27" s="250"/>
      <c r="AA27" s="250"/>
      <c r="AB27" s="250"/>
      <c r="AC27" s="250"/>
      <c r="AD27" s="250"/>
      <c r="AE27" s="250"/>
      <c r="AF27" s="250"/>
      <c r="AG27" s="249"/>
    </row>
    <row r="28" spans="1:41" ht="18" customHeight="1" x14ac:dyDescent="0.2">
      <c r="A28" s="246"/>
      <c r="B28" s="999"/>
      <c r="C28" s="1000"/>
      <c r="D28" s="1001"/>
      <c r="E28" s="684" t="s">
        <v>305</v>
      </c>
      <c r="F28" s="971" t="str">
        <f>IF($F$14="8Hz帯域","-",IF($F$14="250Hz帯域","-",IF($F$14="125Hz帯域",'Result_重量床衝撃音（範囲設定なし）'!F28,IF($F$14="63Hz帯域",IF($D$9&gt;=150,IF($D$9&lt;=300,'Result_重量床衝撃音（範囲設定なし）'!F28,"-"),"-"),IF($D$9&gt;=150,IF($D$9&lt;=350,'Result_重量床衝撃音（範囲設定なし）'!F28,"-"),"-")))))</f>
        <v>-</v>
      </c>
      <c r="G28" s="970"/>
      <c r="H28" s="969" t="str">
        <f>IF($F$14="8Hz帯域","-",IF($F$14="250Hz帯域","-",IF($F$14="125Hz帯域",'Result_重量床衝撃音（範囲設定なし）'!H28,IF($F$14="63Hz帯域",IF($D$9&gt;=150,IF($D$9&lt;=300,'Result_重量床衝撃音（範囲設定なし）'!H28,"-"),"-"),IF($D$9&gt;=150,IF($D$9&lt;=350,'Result_重量床衝撃音（範囲設定なし）'!H28,"-"),"-")))))</f>
        <v>-</v>
      </c>
      <c r="I28" s="1009"/>
      <c r="J28" s="971" t="str">
        <f>IF($F$14="8Hz帯域","-",IF($F$14="250Hz帯域","-",IF($F$14="125Hz帯域",'Result_重量床衝撃音（範囲設定なし）'!J28,IF($F$14="63Hz帯域",IF($D$9&gt;=150,IF($D$9&lt;=300,'Result_重量床衝撃音（範囲設定なし）'!J28,"-"),"-"),IF($D$9&gt;=150,IF($D$9&lt;=350,'Result_重量床衝撃音（範囲設定なし）'!J28,"-"),"-")))))</f>
        <v>-</v>
      </c>
      <c r="K28" s="1009"/>
      <c r="L28" s="971" t="str">
        <f>IF($F$14="8Hz帯域","-",IF($F$14="250Hz帯域","-",IF($F$14="125Hz帯域",'Result_重量床衝撃音（範囲設定なし）'!L28,IF($F$14="63Hz帯域",IF($D$9&gt;=150,IF($D$9&lt;=300,'Result_重量床衝撃音（範囲設定なし）'!L28,"-"),"-"),IF($D$9&gt;=150,IF($D$9&lt;=350,'Result_重量床衝撃音（範囲設定なし）'!L28,"-"),"-")))))</f>
        <v>-</v>
      </c>
      <c r="M28" s="1009"/>
      <c r="N28" s="248"/>
      <c r="O28" s="248"/>
      <c r="P28" s="250"/>
      <c r="Q28" s="250"/>
      <c r="R28" s="250"/>
      <c r="S28" s="250"/>
      <c r="T28" s="250"/>
      <c r="U28" s="250"/>
      <c r="V28" s="250"/>
      <c r="W28" s="250"/>
      <c r="X28" s="250"/>
      <c r="Y28" s="250"/>
      <c r="Z28" s="250"/>
      <c r="AA28" s="250"/>
      <c r="AB28" s="250"/>
      <c r="AC28" s="250"/>
      <c r="AD28" s="250"/>
      <c r="AE28" s="250"/>
      <c r="AF28" s="250"/>
      <c r="AG28" s="249"/>
    </row>
    <row r="29" spans="1:41" ht="18" customHeight="1" x14ac:dyDescent="0.2">
      <c r="A29" s="246"/>
      <c r="B29" s="999"/>
      <c r="C29" s="1000"/>
      <c r="D29" s="1001"/>
      <c r="E29" s="684" t="s">
        <v>42</v>
      </c>
      <c r="F29" s="971" t="str">
        <f>IF($F$14="8Hz帯域","-",IF($F$14="250Hz帯域","-",IF($F$14="125Hz帯域",'Result_重量床衝撃音（範囲設定なし）'!F29,IF($F$14="63Hz帯域",IF($D$9&gt;=150,IF($D$9&lt;=300,'Result_重量床衝撃音（範囲設定なし）'!F29,"-"),"-"),IF($D$9&gt;=150,IF($D$9&lt;=350,'Result_重量床衝撃音（範囲設定なし）'!F29,"-"),"-")))))</f>
        <v>-</v>
      </c>
      <c r="G29" s="970"/>
      <c r="H29" s="969" t="str">
        <f>IF($F$14="8Hz帯域","-",IF($F$14="250Hz帯域","-",IF($F$14="125Hz帯域",'Result_重量床衝撃音（範囲設定なし）'!H29,IF($F$14="63Hz帯域",IF($D$9&gt;=150,IF($D$9&lt;=300,'Result_重量床衝撃音（範囲設定なし）'!H29,"-"),"-"),IF($D$9&gt;=150,IF($D$9&lt;=350,'Result_重量床衝撃音（範囲設定なし）'!H29,"-"),"-")))))</f>
        <v>-</v>
      </c>
      <c r="I29" s="1009"/>
      <c r="J29" s="971" t="str">
        <f>IF($F$14="8Hz帯域","-",IF($F$14="250Hz帯域","-",IF($F$14="125Hz帯域",'Result_重量床衝撃音（範囲設定なし）'!J29,IF($F$14="63Hz帯域",IF($D$9&gt;=150,IF($D$9&lt;=300,'Result_重量床衝撃音（範囲設定なし）'!J29,"-"),"-"),IF($D$9&gt;=150,IF($D$9&lt;=350,'Result_重量床衝撃音（範囲設定なし）'!J29,"-"),"-")))))</f>
        <v>-</v>
      </c>
      <c r="K29" s="1009"/>
      <c r="L29" s="971" t="str">
        <f>IF($F$14="8Hz帯域","-",IF($F$14="250Hz帯域","-",IF($F$14="125Hz帯域",'Result_重量床衝撃音（範囲設定なし）'!L29,IF($F$14="63Hz帯域",IF($D$9&gt;=150,IF($D$9&lt;=300,'Result_重量床衝撃音（範囲設定なし）'!L29,"-"),"-"),IF($D$9&gt;=150,IF($D$9&lt;=350,'Result_重量床衝撃音（範囲設定なし）'!L29,"-"),"-")))))</f>
        <v>-</v>
      </c>
      <c r="M29" s="1009"/>
      <c r="N29" s="248"/>
      <c r="O29" s="248"/>
      <c r="P29" s="250"/>
      <c r="Q29" s="250"/>
      <c r="R29" s="250"/>
      <c r="S29" s="250"/>
      <c r="T29" s="250"/>
      <c r="U29" s="250"/>
      <c r="V29" s="250"/>
      <c r="W29" s="250"/>
      <c r="X29" s="250"/>
      <c r="Y29" s="250"/>
      <c r="Z29" s="250"/>
      <c r="AA29" s="250"/>
      <c r="AB29" s="250"/>
      <c r="AC29" s="250"/>
      <c r="AD29" s="250"/>
      <c r="AE29" s="250"/>
      <c r="AF29" s="250"/>
      <c r="AG29" s="249"/>
    </row>
    <row r="30" spans="1:41" ht="18" customHeight="1" x14ac:dyDescent="0.2">
      <c r="A30" s="246"/>
      <c r="B30" s="1002"/>
      <c r="C30" s="1003"/>
      <c r="D30" s="1004"/>
      <c r="E30" s="685" t="s">
        <v>307</v>
      </c>
      <c r="F30" s="1010" t="str">
        <f>IF($F$14="8Hz帯域","-",IF($F$14="250Hz帯域","-",IF($F$14="125Hz帯域",'Result_重量床衝撃音（範囲設定なし）'!F30,IF($F$14="63Hz帯域",IF($D$9&gt;=150,IF($D$9&lt;=300,'Result_重量床衝撃音（範囲設定なし）'!F30,"-"),"-"),IF($D$9&gt;=150,IF($D$9&lt;=350,'Result_重量床衝撃音（範囲設定なし）'!F30,"-"),"-")))))</f>
        <v>-</v>
      </c>
      <c r="G30" s="1011"/>
      <c r="H30" s="1012" t="str">
        <f>IF($F$14="8Hz帯域","-",IF($F$14="250Hz帯域","-",IF($F$14="125Hz帯域",'Result_重量床衝撃音（範囲設定なし）'!H30,IF($F$14="63Hz帯域",IF($D$9&gt;=150,IF($D$9&lt;=300,'Result_重量床衝撃音（範囲設定なし）'!H30,"-"),"-"),IF($D$9&gt;=150,IF($D$9&lt;=350,'Result_重量床衝撃音（範囲設定なし）'!H30,"-"),"-")))))</f>
        <v>-</v>
      </c>
      <c r="I30" s="1013"/>
      <c r="J30" s="1010" t="str">
        <f>IF($F$14="8Hz帯域","-",IF($F$14="250Hz帯域","-",IF($F$14="125Hz帯域",'Result_重量床衝撃音（範囲設定なし）'!J30,IF($F$14="63Hz帯域",IF($D$9&gt;=150,IF($D$9&lt;=300,'Result_重量床衝撃音（範囲設定なし）'!J30,"-"),"-"),IF($D$9&gt;=150,IF($D$9&lt;=350,'Result_重量床衝撃音（範囲設定なし）'!J30,"-"),"-")))))</f>
        <v>-</v>
      </c>
      <c r="K30" s="1013"/>
      <c r="L30" s="1010" t="str">
        <f>IF($F$14="8Hz帯域","-",IF($F$14="250Hz帯域","-",IF($F$14="125Hz帯域",'Result_重量床衝撃音（範囲設定なし）'!L30,IF($F$14="63Hz帯域",IF($D$9&gt;=150,IF($D$9&lt;=300,'Result_重量床衝撃音（範囲設定なし）'!L30,"-"),"-"),IF($D$9&gt;=150,IF($D$9&lt;=350,'Result_重量床衝撃音（範囲設定なし）'!L30,"-"),"-")))))</f>
        <v>-</v>
      </c>
      <c r="M30" s="1013"/>
      <c r="N30" s="248"/>
      <c r="O30" s="248"/>
      <c r="P30" s="250"/>
      <c r="Q30" s="248"/>
      <c r="R30" s="250"/>
      <c r="S30" s="250"/>
      <c r="T30" s="250"/>
      <c r="U30" s="250"/>
      <c r="V30" s="250"/>
      <c r="W30" s="250"/>
      <c r="X30" s="250"/>
      <c r="Y30" s="250"/>
      <c r="Z30" s="250"/>
      <c r="AA30" s="250"/>
      <c r="AB30" s="250"/>
      <c r="AC30" s="250"/>
      <c r="AD30" s="250"/>
      <c r="AE30" s="250"/>
      <c r="AF30" s="250"/>
      <c r="AG30" s="249"/>
    </row>
    <row r="31" spans="1:41" ht="18" customHeight="1" x14ac:dyDescent="0.2">
      <c r="A31" s="246"/>
      <c r="B31" s="979" t="s">
        <v>372</v>
      </c>
      <c r="C31" s="980"/>
      <c r="D31" s="980"/>
      <c r="E31" s="980"/>
      <c r="F31" s="1014" t="str">
        <f>IF($F$14="8Hz帯域","-",IF($F$14="250Hz帯域","-",IF($F$14="125Hz帯域",'Result_重量床衝撃音（範囲設定なし）'!F31,IF($F$14="63Hz帯域",IF($D$9&gt;=150,IF($D$9&lt;=300,'Result_重量床衝撃音（範囲設定なし）'!F31,"-"),"-"),IF($D$9&gt;=150,IF($D$9&lt;=350,'Result_重量床衝撃音（範囲設定なし）'!F31,"-"),"-")))))</f>
        <v>-</v>
      </c>
      <c r="G31" s="1015"/>
      <c r="H31" s="1016" t="str">
        <f>IF($F$14="8Hz帯域","-",IF($F$14="250Hz帯域","-",IF($F$14="125Hz帯域",'Result_重量床衝撃音（範囲設定なし）'!H31,IF($F$14="63Hz帯域",IF($D$9&gt;=150,IF($D$9&lt;=300,'Result_重量床衝撃音（範囲設定なし）'!H31,"-"),"-"),IF($D$9&gt;=150,IF($D$9&lt;=350,'Result_重量床衝撃音（範囲設定なし）'!H31,"-"),"-")))))</f>
        <v>-</v>
      </c>
      <c r="I31" s="1015"/>
      <c r="J31" s="1014" t="str">
        <f>IF($F$14="8Hz帯域","-",IF($F$14="250Hz帯域","-",IF($F$14="125Hz帯域",'Result_重量床衝撃音（範囲設定なし）'!J31,IF($F$14="63Hz帯域",IF($D$9&gt;=150,IF($D$9&lt;=300,'Result_重量床衝撃音（範囲設定なし）'!J31,"-"),"-"),IF($D$9&gt;=150,IF($D$9&lt;=350,'Result_重量床衝撃音（範囲設定なし）'!J31,"-"),"-")))))</f>
        <v>-</v>
      </c>
      <c r="K31" s="1015"/>
      <c r="L31" s="1014" t="str">
        <f>IF($F$14="8Hz帯域","-",IF($F$14="250Hz帯域","-",IF($F$14="125Hz帯域",'Result_重量床衝撃音（範囲設定なし）'!L31,IF($F$14="63Hz帯域",IF($D$9&gt;=150,IF($D$9&lt;=300,'Result_重量床衝撃音（範囲設定なし）'!L31,"-"),"-"),IF($D$9&gt;=150,IF($D$9&lt;=350,'Result_重量床衝撃音（範囲設定なし）'!L31,"-"),"-")))))</f>
        <v>-</v>
      </c>
      <c r="M31" s="1015"/>
      <c r="N31" s="248"/>
      <c r="O31" s="248"/>
      <c r="P31" s="250"/>
      <c r="Q31" s="248"/>
      <c r="R31" s="250"/>
      <c r="S31" s="250"/>
      <c r="T31" s="250"/>
      <c r="U31" s="250"/>
      <c r="V31" s="250"/>
      <c r="W31" s="250"/>
      <c r="X31" s="250"/>
      <c r="Y31" s="250"/>
      <c r="Z31" s="250"/>
      <c r="AA31" s="250"/>
      <c r="AB31" s="250"/>
      <c r="AC31" s="250"/>
      <c r="AD31" s="250"/>
      <c r="AE31" s="250"/>
      <c r="AF31" s="250"/>
      <c r="AG31" s="249"/>
    </row>
    <row r="32" spans="1:41" ht="18" customHeight="1" x14ac:dyDescent="0.2">
      <c r="A32" s="246"/>
      <c r="B32" s="1017" t="s">
        <v>308</v>
      </c>
      <c r="C32" s="1018"/>
      <c r="D32" s="1018"/>
      <c r="E32" s="1018"/>
      <c r="F32" s="983" t="str">
        <f>IF($F$14="8Hz帯域","-",IF($F$14="250Hz帯域","-",IF($F$14="125Hz帯域",'Result_重量床衝撃音（範囲設定なし）'!F32,IF($F$14="63Hz帯域",IF($D$9&gt;=150,IF($D$9&lt;=300,'Result_重量床衝撃音（範囲設定なし）'!F32,"-"),"-"),IF($D$9&gt;=150,IF($D$9&lt;=350,'Result_重量床衝撃音（範囲設定なし）'!F32,"-"),"-")))))</f>
        <v>-</v>
      </c>
      <c r="G32" s="984"/>
      <c r="H32" s="985" t="str">
        <f>IF($F$14="8Hz帯域","-",IF($F$14="250Hz帯域","-",IF($F$14="125Hz帯域",'Result_重量床衝撃音（範囲設定なし）'!H32,IF($F$14="63Hz帯域",IF($D$9&gt;=150,IF($D$9&lt;=300,'Result_重量床衝撃音（範囲設定なし）'!H32,"-"),"-"),IF($D$9&gt;=150,IF($D$9&lt;=350,'Result_重量床衝撃音（範囲設定なし）'!H32,"-"),"-")))))</f>
        <v>-</v>
      </c>
      <c r="I32" s="985"/>
      <c r="J32" s="983" t="str">
        <f>IF($F$14="8Hz帯域","-",IF($F$14="250Hz帯域","-",IF($F$14="125Hz帯域",'Result_重量床衝撃音（範囲設定なし）'!J32,IF($F$14="63Hz帯域",IF($D$9&gt;=150,IF($D$9&lt;=300,'Result_重量床衝撃音（範囲設定なし）'!J32,"-"),"-"),IF($D$9&gt;=150,IF($D$9&lt;=350,'Result_重量床衝撃音（範囲設定なし）'!J32,"-"),"-")))))</f>
        <v>-</v>
      </c>
      <c r="K32" s="984"/>
      <c r="L32" s="983" t="str">
        <f>IF($F$14="8Hz帯域","-",IF($F$14="250Hz帯域","-",IF($F$14="125Hz帯域",'Result_重量床衝撃音（範囲設定なし）'!L32,IF($F$14="63Hz帯域",IF($D$9&gt;=150,IF($D$9&lt;=300,'Result_重量床衝撃音（範囲設定なし）'!L32,"-"),"-"),IF($D$9&gt;=150,IF($D$9&lt;=350,'Result_重量床衝撃音（範囲設定なし）'!L32,"-"),"-")))))</f>
        <v>-</v>
      </c>
      <c r="M32" s="984"/>
      <c r="N32" s="248"/>
      <c r="O32" s="248"/>
      <c r="P32" s="250"/>
      <c r="Q32" s="248"/>
      <c r="R32" s="250"/>
      <c r="S32" s="250"/>
      <c r="T32" s="250"/>
      <c r="U32" s="250"/>
      <c r="V32" s="250"/>
      <c r="W32" s="250"/>
      <c r="X32" s="250"/>
      <c r="Y32" s="250"/>
      <c r="Z32" s="250"/>
      <c r="AA32" s="250"/>
      <c r="AB32" s="250"/>
      <c r="AC32" s="250"/>
      <c r="AD32" s="250"/>
      <c r="AE32" s="250"/>
      <c r="AF32" s="250"/>
      <c r="AG32" s="249"/>
    </row>
    <row r="33" spans="1:35" ht="18" customHeight="1" x14ac:dyDescent="0.2">
      <c r="A33" s="246"/>
      <c r="B33" s="1019" t="s">
        <v>115</v>
      </c>
      <c r="C33" s="1020"/>
      <c r="D33" s="1020"/>
      <c r="E33" s="1020"/>
      <c r="F33" s="990" t="str">
        <f>IF($F$14="8Hz帯域","-",IF($F$14="250Hz帯域","-",IF($F$14="125Hz帯域",'Result_重量床衝撃音（範囲設定なし）'!F33,IF($F$14="63Hz帯域",IF($D$9&gt;=150,IF($D$9&lt;=300,'Result_重量床衝撃音（範囲設定なし）'!F33,"-"),"-"),IF($D$9&gt;=150,IF($D$9&lt;=350,'Result_重量床衝撃音（範囲設定なし）'!F33,"-"),"-")))))</f>
        <v>-</v>
      </c>
      <c r="G33" s="991"/>
      <c r="H33" s="1021" t="str">
        <f>IF($F$14="8Hz帯域","-",IF($F$14="250Hz帯域","-",IF($F$14="125Hz帯域",'Result_重量床衝撃音（範囲設定なし）'!H33,IF($F$14="63Hz帯域",IF($D$9&gt;=150,IF($D$9&lt;=300,'Result_重量床衝撃音（範囲設定なし）'!H33,"-"),"-"),IF($D$9&gt;=150,IF($D$9&lt;=350,'Result_重量床衝撃音（範囲設定なし）'!H33,"-"),"-")))))</f>
        <v>-</v>
      </c>
      <c r="I33" s="991"/>
      <c r="J33" s="990" t="str">
        <f>IF($F$14="8Hz帯域","-",IF($F$14="250Hz帯域","-",IF($F$14="125Hz帯域",'Result_重量床衝撃音（範囲設定なし）'!J33,IF($F$14="63Hz帯域",IF($D$9&gt;=150,IF($D$9&lt;=300,'Result_重量床衝撃音（範囲設定なし）'!J33,"-"),"-"),IF($D$9&gt;=150,IF($D$9&lt;=350,'Result_重量床衝撃音（範囲設定なし）'!J33,"-"),"-")))))</f>
        <v>-</v>
      </c>
      <c r="K33" s="991"/>
      <c r="L33" s="990" t="str">
        <f>IF($F$14="8Hz帯域","-",IF($F$14="250Hz帯域","-",IF($F$14="125Hz帯域",'Result_重量床衝撃音（範囲設定なし）'!L33,IF($F$14="63Hz帯域",IF($D$9&gt;=150,IF($D$9&lt;=300,'Result_重量床衝撃音（範囲設定なし）'!L33,"-"),"-"),IF($D$9&gt;=150,IF($D$9&lt;=350,'Result_重量床衝撃音（範囲設定なし）'!L33,"-"),"-")))))</f>
        <v>-</v>
      </c>
      <c r="M33" s="991"/>
      <c r="N33" s="248"/>
      <c r="O33" s="248"/>
      <c r="P33" s="250"/>
      <c r="Q33" s="248"/>
      <c r="R33" s="250"/>
      <c r="S33" s="250"/>
      <c r="T33" s="250"/>
      <c r="U33" s="250"/>
      <c r="V33" s="250"/>
      <c r="W33" s="250"/>
      <c r="X33" s="250"/>
      <c r="Y33" s="250"/>
      <c r="Z33" s="250"/>
      <c r="AA33" s="250"/>
      <c r="AB33" s="250"/>
      <c r="AC33" s="250"/>
      <c r="AD33" s="250"/>
      <c r="AE33" s="250"/>
      <c r="AF33" s="250"/>
      <c r="AG33" s="249"/>
    </row>
    <row r="34" spans="1:35" ht="18" customHeight="1" x14ac:dyDescent="0.2">
      <c r="A34" s="246"/>
      <c r="B34" s="979" t="s">
        <v>309</v>
      </c>
      <c r="C34" s="1022"/>
      <c r="D34" s="1022"/>
      <c r="E34" s="1022"/>
      <c r="F34" s="967" t="str">
        <f>IF($F$14="8Hz帯域","-",IF($F$14="250Hz帯域","-",IF($F$14="125Hz帯域",'Result_重量床衝撃音（範囲設定なし）'!F34,IF($F$14="63Hz帯域",IF($D$9&gt;=150,IF($D$9&lt;=300,'Result_重量床衝撃音（範囲設定なし）'!F34,"-"),"-"),IF($D$9&gt;=150,IF($D$9&lt;=350,'Result_重量床衝撃音（範囲設定なし）'!F34,"-"),"-")))))</f>
        <v>-</v>
      </c>
      <c r="G34" s="968"/>
      <c r="H34" s="981" t="str">
        <f>IF($F$14="8Hz帯域","-",IF($F$14="250Hz帯域","-",IF($F$14="125Hz帯域",'Result_重量床衝撃音（範囲設定なし）'!H34,IF($F$14="63Hz帯域",IF($D$9&gt;=150,IF($D$9&lt;=300,'Result_重量床衝撃音（範囲設定なし）'!H34,"-"),"-"),IF($D$9&gt;=150,IF($D$9&lt;=350,'Result_重量床衝撃音（範囲設定なし）'!H34,"-"),"-")))))</f>
        <v>-</v>
      </c>
      <c r="I34" s="968"/>
      <c r="J34" s="967" t="str">
        <f>IF($F$14="8Hz帯域","-",IF($F$14="250Hz帯域","-",IF($F$14="125Hz帯域",'Result_重量床衝撃音（範囲設定なし）'!J34,IF($F$14="63Hz帯域",IF($D$9&gt;=150,IF($D$9&lt;=300,'Result_重量床衝撃音（範囲設定なし）'!J34,"-"),"-"),IF($D$9&gt;=150,IF($D$9&lt;=350,'Result_重量床衝撃音（範囲設定なし）'!J34,"-"),"-")))))</f>
        <v>-</v>
      </c>
      <c r="K34" s="968"/>
      <c r="L34" s="967" t="str">
        <f>IF($F$14="8Hz帯域","-",IF($F$14="250Hz帯域","-",IF($F$14="125Hz帯域",'Result_重量床衝撃音（範囲設定なし）'!L34,IF($F$14="63Hz帯域",IF($D$9&gt;=150,IF($D$9&lt;=300,'Result_重量床衝撃音（範囲設定なし）'!L34,"-"),"-"),IF($D$9&gt;=150,IF($D$9&lt;=350,'Result_重量床衝撃音（範囲設定なし）'!L34,"-"),"-")))))</f>
        <v>-</v>
      </c>
      <c r="M34" s="968"/>
      <c r="N34" s="248"/>
      <c r="O34" s="248"/>
      <c r="P34" s="250"/>
      <c r="Q34" s="248"/>
      <c r="R34" s="250"/>
      <c r="S34" s="250"/>
      <c r="T34" s="250"/>
      <c r="U34" s="250"/>
      <c r="V34" s="250"/>
      <c r="W34" s="250"/>
      <c r="X34" s="250"/>
      <c r="Y34" s="250"/>
      <c r="Z34" s="250"/>
      <c r="AA34" s="250"/>
      <c r="AB34" s="250"/>
      <c r="AC34" s="250"/>
      <c r="AD34" s="250"/>
      <c r="AE34" s="250"/>
      <c r="AF34" s="250"/>
      <c r="AG34" s="249"/>
    </row>
    <row r="35" spans="1:35" ht="18" customHeight="1" x14ac:dyDescent="0.2">
      <c r="A35" s="246"/>
      <c r="B35" s="1017" t="s">
        <v>469</v>
      </c>
      <c r="C35" s="1023"/>
      <c r="D35" s="1023"/>
      <c r="E35" s="1023"/>
      <c r="F35" s="983" t="str">
        <f>IF($F$14="8Hz帯域","-",IF($F$14="250Hz帯域","-",IF($F$14="125Hz帯域",'Result_重量床衝撃音（範囲設定なし）'!F35,IF($F$14="63Hz帯域",IF($D$9&gt;=150,IF($D$9&lt;=300,'Result_重量床衝撃音（範囲設定なし）'!F35,"-"),"-"),IF($D$9&gt;=150,IF($D$9&lt;=350,'Result_重量床衝撃音（範囲設定なし）'!F35,"-"),"-")))))</f>
        <v>-</v>
      </c>
      <c r="G35" s="984"/>
      <c r="H35" s="985" t="str">
        <f>IF($F$14="8Hz帯域","-",IF($F$14="250Hz帯域","-",IF($F$14="125Hz帯域",'Result_重量床衝撃音（範囲設定なし）'!H35,IF($F$14="63Hz帯域",IF($D$9&gt;=150,IF($D$9&lt;=300,'Result_重量床衝撃音（範囲設定なし）'!H35,"-"),"-"),IF($D$9&gt;=150,IF($D$9&lt;=350,'Result_重量床衝撃音（範囲設定なし）'!H35,"-"),"-")))))</f>
        <v>-</v>
      </c>
      <c r="I35" s="984"/>
      <c r="J35" s="983" t="str">
        <f>IF($F$14="8Hz帯域","-",IF($F$14="250Hz帯域","-",IF($F$14="125Hz帯域",'Result_重量床衝撃音（範囲設定なし）'!J35,IF($F$14="63Hz帯域",IF($D$9&gt;=150,IF($D$9&lt;=300,'Result_重量床衝撃音（範囲設定なし）'!J35,"-"),"-"),IF($D$9&gt;=150,IF($D$9&lt;=350,'Result_重量床衝撃音（範囲設定なし）'!J35,"-"),"-")))))</f>
        <v>-</v>
      </c>
      <c r="K35" s="984"/>
      <c r="L35" s="983" t="str">
        <f>IF($F$14="8Hz帯域","-",IF($F$14="250Hz帯域","-",IF($F$14="125Hz帯域",'Result_重量床衝撃音（範囲設定なし）'!L35,IF($F$14="63Hz帯域",IF($D$9&gt;=150,IF($D$9&lt;=300,'Result_重量床衝撃音（範囲設定なし）'!L35,"-"),"-"),IF($D$9&gt;=150,IF($D$9&lt;=350,'Result_重量床衝撃音（範囲設定なし）'!L35,"-"),"-")))))</f>
        <v>-</v>
      </c>
      <c r="M35" s="984"/>
      <c r="N35" s="248"/>
      <c r="O35" s="248"/>
      <c r="P35" s="248"/>
      <c r="Q35" s="248"/>
      <c r="R35" s="248"/>
      <c r="S35" s="248"/>
      <c r="T35" s="248"/>
      <c r="U35" s="248"/>
      <c r="V35" s="248"/>
      <c r="W35" s="248"/>
      <c r="X35" s="248"/>
      <c r="Y35" s="248"/>
      <c r="Z35" s="248"/>
      <c r="AA35" s="248"/>
      <c r="AB35" s="248"/>
      <c r="AC35" s="248"/>
      <c r="AD35" s="248"/>
      <c r="AE35" s="248"/>
      <c r="AF35" s="248"/>
      <c r="AG35" s="249"/>
    </row>
    <row r="36" spans="1:35" ht="18" customHeight="1" x14ac:dyDescent="0.2">
      <c r="A36" s="246"/>
      <c r="B36" s="1019" t="s">
        <v>17</v>
      </c>
      <c r="C36" s="1020"/>
      <c r="D36" s="1020"/>
      <c r="E36" s="1020"/>
      <c r="F36" s="990" t="str">
        <f>IF($F$14="8Hz帯域","-",IF($F$14="250Hz帯域","-",IF($F$14="125Hz帯域",'Result_重量床衝撃音（範囲設定なし）'!F36,IF($F$14="63Hz帯域",IF($D$9&gt;=150,IF($D$9&lt;=300,'Result_重量床衝撃音（範囲設定なし）'!F36,"-"),"-"),IF($D$9&gt;=150,IF($D$9&lt;=350,'Result_重量床衝撃音（範囲設定なし）'!F36,"-"),"-")))))</f>
        <v>-</v>
      </c>
      <c r="G36" s="991"/>
      <c r="H36" s="1021" t="str">
        <f>IF($F$14="8Hz帯域","-",IF($F$14="250Hz帯域","-",IF($F$14="125Hz帯域",'Result_重量床衝撃音（範囲設定なし）'!H36,IF($F$14="63Hz帯域",IF($D$9&gt;=150,IF($D$9&lt;=300,'Result_重量床衝撃音（範囲設定なし）'!H36,"-"),"-"),IF($D$9&gt;=150,IF($D$9&lt;=350,'Result_重量床衝撃音（範囲設定なし）'!H36,"-"),"-")))))</f>
        <v>-</v>
      </c>
      <c r="I36" s="991"/>
      <c r="J36" s="990" t="str">
        <f>IF($F$14="8Hz帯域","-",IF($F$14="250Hz帯域","-",IF($F$14="125Hz帯域",'Result_重量床衝撃音（範囲設定なし）'!J36,IF($F$14="63Hz帯域",IF($D$9&gt;=150,IF($D$9&lt;=300,'Result_重量床衝撃音（範囲設定なし）'!J36,"-"),"-"),IF($D$9&gt;=150,IF($D$9&lt;=350,'Result_重量床衝撃音（範囲設定なし）'!J36,"-"),"-")))))</f>
        <v>-</v>
      </c>
      <c r="K36" s="991"/>
      <c r="L36" s="990" t="str">
        <f>IF($F$14="8Hz帯域","-",IF($F$14="250Hz帯域","-",IF($F$14="125Hz帯域",'Result_重量床衝撃音（範囲設定なし）'!L36,IF($F$14="63Hz帯域",IF($D$9&gt;=150,IF($D$9&lt;=300,'Result_重量床衝撃音（範囲設定なし）'!L36,"-"),"-"),IF($D$9&gt;=150,IF($D$9&lt;=350,'Result_重量床衝撃音（範囲設定なし）'!L36,"-"),"-")))))</f>
        <v>-</v>
      </c>
      <c r="M36" s="991"/>
      <c r="N36" s="248"/>
      <c r="O36" s="248"/>
      <c r="P36" s="268" t="s">
        <v>562</v>
      </c>
      <c r="Q36" s="248"/>
      <c r="R36" s="248"/>
      <c r="S36" s="248"/>
      <c r="T36" s="248"/>
      <c r="U36" s="248"/>
      <c r="V36" s="248"/>
      <c r="W36" s="248"/>
      <c r="X36" s="248"/>
      <c r="Y36" s="248"/>
      <c r="Z36" s="248"/>
      <c r="AA36" s="248"/>
      <c r="AB36" s="248"/>
      <c r="AC36" s="248"/>
      <c r="AD36" s="248"/>
      <c r="AE36" s="248"/>
      <c r="AF36" s="248"/>
      <c r="AG36" s="249"/>
    </row>
    <row r="37" spans="1:35" ht="18" customHeight="1" x14ac:dyDescent="0.2">
      <c r="A37" s="246"/>
      <c r="B37" s="979" t="s">
        <v>421</v>
      </c>
      <c r="C37" s="1022"/>
      <c r="D37" s="1022"/>
      <c r="E37" s="1022"/>
      <c r="F37" s="1014" t="str">
        <f>IF($F$14="8Hz帯域","-",IF($F$14="250Hz帯域","-",IF($F$14="125Hz帯域",'Result_重量床衝撃音（範囲設定なし）'!F37,IF($F$14="63Hz帯域",IF($D$9&gt;=150,IF($D$9&lt;=300,'Result_重量床衝撃音（範囲設定なし）'!F37,"-"),"-"),IF($D$9&gt;=150,IF($D$9&lt;=350,'Result_重量床衝撃音（範囲設定なし）'!F37,"-"),"-")))))</f>
        <v>-</v>
      </c>
      <c r="G37" s="1015"/>
      <c r="H37" s="1016" t="str">
        <f>IF($F$14="8Hz帯域","-",IF($F$14="250Hz帯域","-",IF($F$14="125Hz帯域",'Result_重量床衝撃音（範囲設定なし）'!H37,IF($F$14="63Hz帯域",IF($D$9&gt;=150,IF($D$9&lt;=300,'Result_重量床衝撃音（範囲設定なし）'!H37,"-"),"-"),IF($D$9&gt;=150,IF($D$9&lt;=350,'Result_重量床衝撃音（範囲設定なし）'!H37,"-"),"-")))))</f>
        <v>-</v>
      </c>
      <c r="I37" s="1015"/>
      <c r="J37" s="1014" t="str">
        <f>IF($F$14="8Hz帯域","-",IF($F$14="250Hz帯域","-",IF($F$14="125Hz帯域",'Result_重量床衝撃音（範囲設定なし）'!J37,IF($F$14="63Hz帯域",IF($D$9&gt;=150,IF($D$9&lt;=300,'Result_重量床衝撃音（範囲設定なし）'!J37,"-"),"-"),IF($D$9&gt;=150,IF($D$9&lt;=350,'Result_重量床衝撃音（範囲設定なし）'!J37,"-"),"-")))))</f>
        <v>-</v>
      </c>
      <c r="K37" s="1015"/>
      <c r="L37" s="1014" t="str">
        <f>IF($F$14="8Hz帯域","-",IF($F$14="250Hz帯域","-",IF($F$14="125Hz帯域",'Result_重量床衝撃音（範囲設定なし）'!L37,IF($F$14="63Hz帯域",IF($D$9&gt;=150,IF($D$9&lt;=300,'Result_重量床衝撃音（範囲設定なし）'!L37,"-"),"-"),IF($D$9&gt;=150,IF($D$9&lt;=350,'Result_重量床衝撃音（範囲設定なし）'!L37,"-"),"-")))))</f>
        <v>-</v>
      </c>
      <c r="M37" s="1015"/>
      <c r="N37" s="248"/>
      <c r="O37" s="248"/>
      <c r="P37" s="413" t="s">
        <v>563</v>
      </c>
      <c r="Q37" s="248"/>
      <c r="R37" s="248"/>
      <c r="S37" s="248"/>
      <c r="T37" s="248"/>
      <c r="U37" s="248"/>
      <c r="V37" s="248"/>
      <c r="W37" s="248"/>
      <c r="X37" s="248"/>
      <c r="Y37" s="248"/>
      <c r="Z37" s="248"/>
      <c r="AA37" s="248"/>
      <c r="AB37" s="248"/>
      <c r="AC37" s="248"/>
      <c r="AD37" s="248"/>
      <c r="AE37" s="248"/>
      <c r="AF37" s="248"/>
      <c r="AG37" s="249"/>
    </row>
    <row r="38" spans="1:35" ht="18" customHeight="1" x14ac:dyDescent="0.2">
      <c r="A38" s="246"/>
      <c r="B38" s="1024" t="s">
        <v>610</v>
      </c>
      <c r="C38" s="1025"/>
      <c r="D38" s="1025"/>
      <c r="E38" s="331" t="s">
        <v>15</v>
      </c>
      <c r="F38" s="1005" t="str">
        <f>IF($F$14="8Hz帯域","-",IF($F$14="250Hz帯域","-",IF($F$14="125Hz帯域",'Result_重量床衝撃音（範囲設定なし）'!F38,IF($F$14="63Hz帯域",IF($D$9&gt;=150,IF($D$9&lt;=300,'Result_重量床衝撃音（範囲設定なし）'!F38,"-"),"-"),IF($D$9&gt;=150,IF($D$9&lt;=350,'Result_重量床衝撃音（範囲設定なし）'!F38,"-"),"-")))))</f>
        <v>-</v>
      </c>
      <c r="G38" s="1006"/>
      <c r="H38" s="1007" t="str">
        <f>IF($F$14="8Hz帯域","-",IF($F$14="250Hz帯域","-",IF($F$14="125Hz帯域",'Result_重量床衝撃音（範囲設定なし）'!H38,IF($F$14="63Hz帯域",IF($D$9&gt;=150,IF($D$9&lt;=300,'Result_重量床衝撃音（範囲設定なし）'!H38,"-"),"-"),IF($D$9&gt;=150,IF($D$9&lt;=350,'Result_重量床衝撃音（範囲設定なし）'!H38,"-"),"-")))))</f>
        <v>-</v>
      </c>
      <c r="I38" s="1008"/>
      <c r="J38" s="1005" t="str">
        <f>IF($F$14="8Hz帯域","-",IF($F$14="250Hz帯域","-",IF($F$14="125Hz帯域",'Result_重量床衝撃音（範囲設定なし）'!J38,IF($F$14="63Hz帯域",IF($D$9&gt;=150,IF($D$9&lt;=300,'Result_重量床衝撃音（範囲設定なし）'!J38,"-"),"-"),IF($D$9&gt;=150,IF($D$9&lt;=350,'Result_重量床衝撃音（範囲設定なし）'!J38,"-"),"-")))))</f>
        <v>-</v>
      </c>
      <c r="K38" s="1008"/>
      <c r="L38" s="1005" t="str">
        <f>IF($F$14="8Hz帯域","-",IF($F$14="250Hz帯域","-",IF($F$14="125Hz帯域",'Result_重量床衝撃音（範囲設定なし）'!L38,IF($F$14="63Hz帯域",IF($D$9&gt;=150,IF($D$9&lt;=300,'Result_重量床衝撃音（範囲設定なし）'!L38,"-"),"-"),IF($D$9&gt;=150,IF($D$9&lt;=350,'Result_重量床衝撃音（範囲設定なし）'!L38,"-"),"-")))))</f>
        <v>-</v>
      </c>
      <c r="M38" s="1008"/>
      <c r="N38" s="248"/>
      <c r="O38" s="248"/>
      <c r="P38" s="268" t="s">
        <v>626</v>
      </c>
      <c r="Q38" s="248"/>
      <c r="R38" s="248"/>
      <c r="S38" s="248"/>
      <c r="T38" s="248"/>
      <c r="U38" s="248"/>
      <c r="V38" s="248"/>
      <c r="W38" s="248"/>
      <c r="X38" s="248"/>
      <c r="Y38" s="248"/>
      <c r="Z38" s="248"/>
      <c r="AA38" s="248"/>
      <c r="AB38" s="248"/>
      <c r="AC38" s="248"/>
      <c r="AD38" s="248"/>
      <c r="AE38" s="248"/>
      <c r="AF38" s="248"/>
      <c r="AG38" s="249"/>
    </row>
    <row r="39" spans="1:35" ht="18" customHeight="1" x14ac:dyDescent="0.2">
      <c r="A39" s="246"/>
      <c r="B39" s="1026"/>
      <c r="C39" s="1027"/>
      <c r="D39" s="1027"/>
      <c r="E39" s="684" t="s">
        <v>40</v>
      </c>
      <c r="F39" s="971" t="str">
        <f>IF($F$14="8Hz帯域","-",IF($F$14="250Hz帯域","-",IF($F$14="125Hz帯域",'Result_重量床衝撃音（範囲設定なし）'!F39,IF($F$14="63Hz帯域",IF($D$9&gt;=150,IF($D$9&lt;=300,'Result_重量床衝撃音（範囲設定なし）'!F39,"-"),"-"),IF($D$9&gt;=150,IF($D$9&lt;=350,'Result_重量床衝撃音（範囲設定なし）'!F39,"-"),"-")))))</f>
        <v>-</v>
      </c>
      <c r="G39" s="970"/>
      <c r="H39" s="969" t="str">
        <f>IF($F$14="8Hz帯域","-",IF($F$14="250Hz帯域","-",IF($F$14="125Hz帯域",'Result_重量床衝撃音（範囲設定なし）'!H39,IF($F$14="63Hz帯域",IF($D$9&gt;=150,IF($D$9&lt;=300,'Result_重量床衝撃音（範囲設定なし）'!H39,"-"),"-"),IF($D$9&gt;=150,IF($D$9&lt;=350,'Result_重量床衝撃音（範囲設定なし）'!H39,"-"),"-")))))</f>
        <v>-</v>
      </c>
      <c r="I39" s="1009"/>
      <c r="J39" s="971" t="str">
        <f>IF($F$14="8Hz帯域","-",IF($F$14="250Hz帯域","-",IF($F$14="125Hz帯域",'Result_重量床衝撃音（範囲設定なし）'!J39,IF($F$14="63Hz帯域",IF($D$9&gt;=150,IF($D$9&lt;=300,'Result_重量床衝撃音（範囲設定なし）'!J39,"-"),"-"),IF($D$9&gt;=150,IF($D$9&lt;=350,'Result_重量床衝撃音（範囲設定なし）'!J39,"-"),"-")))))</f>
        <v>-</v>
      </c>
      <c r="K39" s="1009"/>
      <c r="L39" s="971" t="str">
        <f>IF($F$14="8Hz帯域","-",IF($F$14="250Hz帯域","-",IF($F$14="125Hz帯域",'Result_重量床衝撃音（範囲設定なし）'!L39,IF($F$14="63Hz帯域",IF($D$9&gt;=150,IF($D$9&lt;=300,'Result_重量床衝撃音（範囲設定なし）'!L39,"-"),"-"),IF($D$9&gt;=150,IF($D$9&lt;=350,'Result_重量床衝撃音（範囲設定なし）'!L39,"-"),"-")))))</f>
        <v>-</v>
      </c>
      <c r="M39" s="1009"/>
      <c r="N39" s="248"/>
      <c r="O39" s="248"/>
      <c r="P39" s="268" t="s">
        <v>436</v>
      </c>
      <c r="Q39" s="248"/>
      <c r="R39" s="248"/>
      <c r="S39" s="248"/>
      <c r="T39" s="248"/>
      <c r="U39" s="248"/>
      <c r="V39" s="248"/>
      <c r="W39" s="248"/>
      <c r="X39" s="248"/>
      <c r="Y39" s="248"/>
      <c r="Z39" s="248"/>
      <c r="AA39" s="248"/>
      <c r="AB39" s="248"/>
      <c r="AC39" s="248"/>
      <c r="AD39" s="248"/>
      <c r="AE39" s="248"/>
      <c r="AF39" s="248"/>
      <c r="AG39" s="249"/>
      <c r="AI39" s="6"/>
    </row>
    <row r="40" spans="1:35" ht="18" customHeight="1" x14ac:dyDescent="0.2">
      <c r="A40" s="246"/>
      <c r="B40" s="1026"/>
      <c r="C40" s="1027"/>
      <c r="D40" s="1027"/>
      <c r="E40" s="684" t="s">
        <v>41</v>
      </c>
      <c r="F40" s="971" t="str">
        <f>IF($F$14="8Hz帯域","-",IF($F$14="250Hz帯域","-",IF($F$14="125Hz帯域",'Result_重量床衝撃音（範囲設定なし）'!F40,IF($F$14="63Hz帯域",IF($D$9&gt;=150,IF($D$9&lt;=300,'Result_重量床衝撃音（範囲設定なし）'!F40,"-"),"-"),IF($D$9&gt;=150,IF($D$9&lt;=350,'Result_重量床衝撃音（範囲設定なし）'!F40,"-"),"-")))))</f>
        <v>-</v>
      </c>
      <c r="G40" s="970"/>
      <c r="H40" s="969" t="str">
        <f>IF($F$14="8Hz帯域","-",IF($F$14="250Hz帯域","-",IF($F$14="125Hz帯域",'Result_重量床衝撃音（範囲設定なし）'!H40,IF($F$14="63Hz帯域",IF($D$9&gt;=150,IF($D$9&lt;=300,'Result_重量床衝撃音（範囲設定なし）'!H40,"-"),"-"),IF($D$9&gt;=150,IF($D$9&lt;=350,'Result_重量床衝撃音（範囲設定なし）'!H40,"-"),"-")))))</f>
        <v>-</v>
      </c>
      <c r="I40" s="1009"/>
      <c r="J40" s="971" t="str">
        <f>IF($F$14="8Hz帯域","-",IF($F$14="250Hz帯域","-",IF($F$14="125Hz帯域",'Result_重量床衝撃音（範囲設定なし）'!J40,IF($F$14="63Hz帯域",IF($D$9&gt;=150,IF($D$9&lt;=300,'Result_重量床衝撃音（範囲設定なし）'!J40,"-"),"-"),IF($D$9&gt;=150,IF($D$9&lt;=350,'Result_重量床衝撃音（範囲設定なし）'!J40,"-"),"-")))))</f>
        <v>-</v>
      </c>
      <c r="K40" s="1009"/>
      <c r="L40" s="971" t="str">
        <f>IF($F$14="8Hz帯域","-",IF($F$14="250Hz帯域","-",IF($F$14="125Hz帯域",'Result_重量床衝撃音（範囲設定なし）'!L40,IF($F$14="63Hz帯域",IF($D$9&gt;=150,IF($D$9&lt;=300,'Result_重量床衝撃音（範囲設定なし）'!L40,"-"),"-"),IF($D$9&gt;=150,IF($D$9&lt;=350,'Result_重量床衝撃音（範囲設定なし）'!L40,"-"),"-")))))</f>
        <v>-</v>
      </c>
      <c r="M40" s="1009"/>
      <c r="N40" s="248"/>
      <c r="O40" s="248"/>
      <c r="P40" s="268" t="s">
        <v>435</v>
      </c>
      <c r="Q40" s="248"/>
      <c r="R40" s="248"/>
      <c r="S40" s="248"/>
      <c r="T40" s="248"/>
      <c r="U40" s="248"/>
      <c r="V40" s="248"/>
      <c r="W40" s="248"/>
      <c r="X40" s="248"/>
      <c r="Y40" s="248"/>
      <c r="Z40" s="248"/>
      <c r="AA40" s="248"/>
      <c r="AB40" s="248"/>
      <c r="AC40" s="248"/>
      <c r="AD40" s="248"/>
      <c r="AE40" s="248"/>
      <c r="AF40" s="248"/>
      <c r="AG40" s="249"/>
    </row>
    <row r="41" spans="1:35" ht="18" customHeight="1" x14ac:dyDescent="0.2">
      <c r="A41" s="246"/>
      <c r="B41" s="1026"/>
      <c r="C41" s="1027"/>
      <c r="D41" s="1027"/>
      <c r="E41" s="684" t="s">
        <v>118</v>
      </c>
      <c r="F41" s="971" t="str">
        <f>IF($F$14="8Hz帯域","-",IF($F$14="250Hz帯域","-",IF($F$14="125Hz帯域",'Result_重量床衝撃音（範囲設定なし）'!F41,IF($F$14="63Hz帯域",IF($D$9&gt;=150,IF($D$9&lt;=300,'Result_重量床衝撃音（範囲設定なし）'!F41,"-"),"-"),IF($D$9&gt;=150,IF($D$9&lt;=350,'Result_重量床衝撃音（範囲設定なし）'!F41,"-"),"-")))))</f>
        <v>-</v>
      </c>
      <c r="G41" s="970"/>
      <c r="H41" s="969" t="str">
        <f>IF($F$14="8Hz帯域","-",IF($F$14="250Hz帯域","-",IF($F$14="125Hz帯域",'Result_重量床衝撃音（範囲設定なし）'!H41,IF($F$14="63Hz帯域",IF($D$9&gt;=150,IF($D$9&lt;=300,'Result_重量床衝撃音（範囲設定なし）'!H41,"-"),"-"),IF($D$9&gt;=150,IF($D$9&lt;=350,'Result_重量床衝撃音（範囲設定なし）'!H41,"-"),"-")))))</f>
        <v>-</v>
      </c>
      <c r="I41" s="1009"/>
      <c r="J41" s="971" t="str">
        <f>IF($F$14="8Hz帯域","-",IF($F$14="250Hz帯域","-",IF($F$14="125Hz帯域",'Result_重量床衝撃音（範囲設定なし）'!J41,IF($F$14="63Hz帯域",IF($D$9&gt;=150,IF($D$9&lt;=300,'Result_重量床衝撃音（範囲設定なし）'!J41,"-"),"-"),IF($D$9&gt;=150,IF($D$9&lt;=350,'Result_重量床衝撃音（範囲設定なし）'!J41,"-"),"-")))))</f>
        <v>-</v>
      </c>
      <c r="K41" s="1009"/>
      <c r="L41" s="971" t="str">
        <f>IF($F$14="8Hz帯域","-",IF($F$14="250Hz帯域","-",IF($F$14="125Hz帯域",'Result_重量床衝撃音（範囲設定なし）'!L41,IF($F$14="63Hz帯域",IF($D$9&gt;=150,IF($D$9&lt;=300,'Result_重量床衝撃音（範囲設定なし）'!L41,"-"),"-"),IF($D$9&gt;=150,IF($D$9&lt;=350,'Result_重量床衝撃音（範囲設定なし）'!L41,"-"),"-")))))</f>
        <v>-</v>
      </c>
      <c r="M41" s="1009"/>
      <c r="N41" s="248"/>
      <c r="O41" s="248"/>
      <c r="P41" s="268" t="s">
        <v>564</v>
      </c>
      <c r="Q41" s="248"/>
      <c r="R41" s="248"/>
      <c r="S41" s="248"/>
      <c r="T41" s="248"/>
      <c r="U41" s="248"/>
      <c r="V41" s="248"/>
      <c r="W41" s="248"/>
      <c r="X41" s="248"/>
      <c r="Y41" s="248"/>
      <c r="Z41" s="248"/>
      <c r="AA41" s="248"/>
      <c r="AB41" s="248"/>
      <c r="AC41" s="248"/>
      <c r="AD41" s="248"/>
      <c r="AE41" s="248"/>
      <c r="AF41" s="248"/>
      <c r="AG41" s="249"/>
    </row>
    <row r="42" spans="1:35" ht="18" customHeight="1" x14ac:dyDescent="0.2">
      <c r="A42" s="246"/>
      <c r="B42" s="1028"/>
      <c r="C42" s="1029"/>
      <c r="D42" s="1029"/>
      <c r="E42" s="685" t="s">
        <v>43</v>
      </c>
      <c r="F42" s="1010" t="str">
        <f>IF($F$14="8Hz帯域","-",IF($F$14="250Hz帯域","-",IF($F$14="125Hz帯域",'Result_重量床衝撃音（範囲設定なし）'!F42,IF($F$14="63Hz帯域",IF($D$9&gt;=150,IF($D$9&lt;=300,'Result_重量床衝撃音（範囲設定なし）'!F42,"-"),"-"),IF($D$9&gt;=150,IF($D$9&lt;=350,'Result_重量床衝撃音（範囲設定なし）'!F42,"-"),"-")))))</f>
        <v>-</v>
      </c>
      <c r="G42" s="1011"/>
      <c r="H42" s="1012" t="str">
        <f>IF($F$14="8Hz帯域","-",IF($F$14="250Hz帯域","-",IF($F$14="125Hz帯域",'Result_重量床衝撃音（範囲設定なし）'!H42,IF($F$14="63Hz帯域",IF($D$9&gt;=150,IF($D$9&lt;=300,'Result_重量床衝撃音（範囲設定なし）'!H42,"-"),"-"),IF($D$9&gt;=150,IF($D$9&lt;=350,'Result_重量床衝撃音（範囲設定なし）'!H42,"-"),"-")))))</f>
        <v>-</v>
      </c>
      <c r="I42" s="1013"/>
      <c r="J42" s="1010" t="str">
        <f>IF($F$14="8Hz帯域","-",IF($F$14="250Hz帯域","-",IF($F$14="125Hz帯域",'Result_重量床衝撃音（範囲設定なし）'!J42,IF($F$14="63Hz帯域",IF($D$9&gt;=150,IF($D$9&lt;=300,'Result_重量床衝撃音（範囲設定なし）'!J42,"-"),"-"),IF($D$9&gt;=150,IF($D$9&lt;=350,'Result_重量床衝撃音（範囲設定なし）'!J42,"-"),"-")))))</f>
        <v>-</v>
      </c>
      <c r="K42" s="1013"/>
      <c r="L42" s="1010" t="str">
        <f>IF($F$14="8Hz帯域","-",IF($F$14="250Hz帯域","-",IF($F$14="125Hz帯域",'Result_重量床衝撃音（範囲設定なし）'!L42,IF($F$14="63Hz帯域",IF($D$9&gt;=150,IF($D$9&lt;=300,'Result_重量床衝撃音（範囲設定なし）'!L42,"-"),"-"),IF($D$9&gt;=150,IF($D$9&lt;=350,'Result_重量床衝撃音（範囲設定なし）'!L42,"-"),"-")))))</f>
        <v>-</v>
      </c>
      <c r="M42" s="1013"/>
      <c r="N42" s="248"/>
      <c r="O42" s="248"/>
      <c r="P42" s="268" t="s">
        <v>467</v>
      </c>
      <c r="Q42" s="248"/>
      <c r="R42" s="248"/>
      <c r="S42" s="248"/>
      <c r="T42" s="248"/>
      <c r="U42" s="248"/>
      <c r="V42" s="248"/>
      <c r="W42" s="248"/>
      <c r="X42" s="248"/>
      <c r="Y42" s="248"/>
      <c r="Z42" s="248"/>
      <c r="AA42" s="248"/>
      <c r="AB42" s="248"/>
      <c r="AC42" s="248"/>
      <c r="AD42" s="248"/>
      <c r="AE42" s="248"/>
      <c r="AF42" s="248"/>
      <c r="AG42" s="249"/>
    </row>
    <row r="43" spans="1:35" ht="18" customHeight="1" x14ac:dyDescent="0.2">
      <c r="A43" s="246"/>
      <c r="B43" s="1031" t="s">
        <v>298</v>
      </c>
      <c r="C43" s="1032"/>
      <c r="D43" s="1032"/>
      <c r="E43" s="1032"/>
      <c r="F43" s="1033" t="str">
        <f>IF($F$14="8Hz帯域","-",IF($F$14="250Hz帯域","-",IF($F$14="125Hz帯域",'Result_重量床衝撃音（範囲設定なし）'!F43,IF($F$14="63Hz帯域",IF($D$9&gt;=150,IF($D$9&lt;=300,'Result_重量床衝撃音（範囲設定なし）'!F43,"-"),"-"),IF($D$9&gt;=150,IF($D$9&lt;=350,'Result_重量床衝撃音（範囲設定なし）'!F43,"-"),"-")))))</f>
        <v>-</v>
      </c>
      <c r="G43" s="1034"/>
      <c r="H43" s="1035" t="str">
        <f>IF($F$14="8Hz帯域","-",IF($F$14="250Hz帯域","-",IF($F$14="125Hz帯域",'Result_重量床衝撃音（範囲設定なし）'!H43,IF($F$14="63Hz帯域",IF($D$9&gt;=150,IF($D$9&lt;=300,'Result_重量床衝撃音（範囲設定なし）'!H43,"-"),"-"),IF($D$9&gt;=150,IF($D$9&lt;=350,'Result_重量床衝撃音（範囲設定なし）'!H43,"-"),"-")))))</f>
        <v>-</v>
      </c>
      <c r="I43" s="1035"/>
      <c r="J43" s="1036" t="str">
        <f>IF($F$14="8Hz帯域","-",IF($F$14="250Hz帯域","-",IF($F$14="125Hz帯域",'Result_重量床衝撃音（範囲設定なし）'!J43,IF($F$14="63Hz帯域",IF($D$9&gt;=150,IF($D$9&lt;=300,'Result_重量床衝撃音（範囲設定なし）'!J43,"-"),"-"),IF($D$9&gt;=150,IF($D$9&lt;=350,'Result_重量床衝撃音（範囲設定なし）'!J43,"-"),"-")))))</f>
        <v>-</v>
      </c>
      <c r="K43" s="1037"/>
      <c r="L43" s="1036" t="str">
        <f>IF($F$14="8Hz帯域","-",IF($F$14="250Hz帯域","-",IF($F$14="125Hz帯域",'Result_重量床衝撃音（範囲設定なし）'!L43,IF($F$14="63Hz帯域",IF($D$9&gt;=150,IF($D$9&lt;=300,'Result_重量床衝撃音（範囲設定なし）'!L43,"-"),"-"),IF($D$9&gt;=150,IF($D$9&lt;=350,'Result_重量床衝撃音（範囲設定なし）'!L43,"-"),"-")))))</f>
        <v>-</v>
      </c>
      <c r="M43" s="1037"/>
      <c r="N43" s="248"/>
      <c r="O43" s="248"/>
      <c r="P43" s="268" t="s">
        <v>565</v>
      </c>
      <c r="Q43" s="248"/>
      <c r="R43" s="248"/>
      <c r="S43" s="248"/>
      <c r="T43" s="248"/>
      <c r="U43" s="248"/>
      <c r="V43" s="248"/>
      <c r="W43" s="248"/>
      <c r="X43" s="248"/>
      <c r="Y43" s="248"/>
      <c r="Z43" s="248"/>
      <c r="AA43" s="248"/>
      <c r="AB43" s="248"/>
      <c r="AC43" s="248"/>
      <c r="AD43" s="248"/>
      <c r="AE43" s="248"/>
      <c r="AF43" s="248"/>
      <c r="AG43" s="249"/>
    </row>
    <row r="44" spans="1:35" ht="19.5" customHeight="1" x14ac:dyDescent="0.2">
      <c r="A44" s="246"/>
      <c r="B44" s="1038" t="s">
        <v>432</v>
      </c>
      <c r="C44" s="1039"/>
      <c r="D44" s="1039"/>
      <c r="E44" s="1039"/>
      <c r="F44" s="1040" t="str">
        <f>IF($F$14="8Hz帯域","-",IF($F$14="250Hz帯域","-",IF($F$14="125Hz帯域",'Result_重量床衝撃音（範囲設定なし）'!F44,IF('Result_重量床衝撃音（範囲設定なし）'!F44&lt;&gt;"",IF(D13&gt;=13,IF(D13&lt;=86,IF($F$14="63Hz帯域",IF($D$9&gt;=150,IF($D$9&lt;=300,'Result_重量床衝撃音（範囲設定なし）'!F44,"-"),"-"),IF($D$9&gt;=150,IF($D$9&lt;=350,IF($D$9&lt;=320,'Result_重量床衝撃音（範囲設定なし）'!F44,'Result_重量床衝撃音（範囲設定なし）'!F44&amp;"（参考値）"),"-"),"-")),IF($F$14="63Hz帯域",IF($D$9&gt;=150,IF($D$9&lt;=300,'Result_重量床衝撃音（範囲設定なし）'!F44&amp;"（参考値）","-"),"-"),IF($D$9&gt;=150,IF($D$9&lt;=350,IF($D$9&lt;=320,'Result_重量床衝撃音（範囲設定なし）'!F44&amp;"（参考値）",'Result_重量床衝撃音（範囲設定なし）'!F44&amp;"（参考値）"),"-"),"-"))),IF($F$14="63Hz帯域",IF($D$9&gt;=150,IF($D$9&lt;=300,'Result_重量床衝撃音（範囲設定なし）'!F44&amp;"（参考値）","-"),"-"),IF($D$9&gt;=150,IF($D$9&lt;=350,IF($D$9&lt;=320,'Result_重量床衝撃音（範囲設定なし）'!F44&amp;"（参考値）",'Result_重量床衝撃音（範囲設定なし）'!F44&amp;"（参考値）"),"-"),"-"))),""))))</f>
        <v>-</v>
      </c>
      <c r="G44" s="1041"/>
      <c r="H44" s="1041" t="str">
        <f>IF($F$14="63Hz帯域",IF($D$10&gt;=150,IF($D$10&lt;=280,'Result_重量床衝撃音（範囲設定なし）'!H44,"-"),"-"),IF($D$10&gt;=150,IF($D$10&lt;=340,'Result_重量床衝撃音（範囲設定なし）'!H44,"-"),"-"))</f>
        <v>-</v>
      </c>
      <c r="I44" s="1041"/>
      <c r="J44" s="1041" t="str">
        <f>IF($F$14="63Hz帯域",IF($D$10&gt;=150,IF($D$10&lt;=280,'Result_重量床衝撃音（範囲設定なし）'!J44,"-"),"-"),IF($D$10&gt;=150,IF($D$10&lt;=340,'Result_重量床衝撃音（範囲設定なし）'!J44,"-"),"-"))</f>
        <v>-</v>
      </c>
      <c r="K44" s="1041"/>
      <c r="L44" s="1041" t="str">
        <f>IF($F$14="63Hz帯域",IF($D$10&gt;=150,IF($D$10&lt;=280,'Result_重量床衝撃音（範囲設定なし）'!L44,"-"),"-"),IF($D$10&gt;=150,IF($D$10&lt;=340,'Result_重量床衝撃音（範囲設定なし）'!L44,"-"),"-"))</f>
        <v>-</v>
      </c>
      <c r="M44" s="1042"/>
      <c r="N44" s="248"/>
      <c r="O44" s="248"/>
      <c r="P44" s="268" t="s">
        <v>566</v>
      </c>
      <c r="Q44" s="248"/>
      <c r="R44" s="248"/>
      <c r="S44" s="248"/>
      <c r="T44" s="248"/>
      <c r="U44" s="248"/>
      <c r="V44" s="248"/>
      <c r="W44" s="248"/>
      <c r="X44" s="248"/>
      <c r="Y44" s="248"/>
      <c r="Z44" s="248"/>
      <c r="AA44" s="248"/>
      <c r="AB44" s="248"/>
      <c r="AC44" s="248"/>
      <c r="AD44" s="248"/>
      <c r="AE44" s="248"/>
      <c r="AF44" s="248"/>
      <c r="AG44" s="249"/>
    </row>
    <row r="45" spans="1:35" ht="16.899999999999999" customHeight="1" x14ac:dyDescent="0.15">
      <c r="A45" s="246"/>
      <c r="B45" s="1043" t="str">
        <f>IF($F$14="250Hz帯域",'Result_重量床衝撃音（範囲設定なし）'!AK40,IF($F$14="125Hz帯域",'Result_重量床衝撃音（範囲設定なし）'!AK39,IF('Result_重量床衝撃音（範囲設定なし）'!F44&lt;&gt;"",IF(D13&gt;=13,IF(D13&lt;=86,IF($F$14="63Hz帯域",IF($D$10&gt;=150,IF($D$10&lt;=300,"",'Result_重量床衝撃音（範囲設定なし）'!AK37),'Result_重量床衝撃音（範囲設定なし）'!AK37),IF($D$10&gt;=150,IF($D$10&lt;=350,IF($D$10&lt;=320,"",'Result_重量床衝撃音（範囲設定なし）'!AK38),'Result_重量床衝撃音（範囲設定なし）'!AK38),'Result_重量床衝撃音（範囲設定なし）'!AK38)),IF($F$14="63Hz帯域",IF($D$10&gt;=150,IF($D$10&lt;=300,'Result_重量床衝撃音（範囲設定なし）'!AK37,'Result_重量床衝撃音（範囲設定なし）'!AK37),'Result_重量床衝撃音（範囲設定なし）'!AK37),IF($D$10&gt;=150,IF($D$10&lt;=350,IF($D$10&lt;=320,'Result_重量床衝撃音（範囲設定なし）'!AK38,'Result_重量床衝撃音（範囲設定なし）'!AK38),'Result_重量床衝撃音（範囲設定なし）'!AK38),'Result_重量床衝撃音（範囲設定なし）'!AK38))),IF($F$14="63Hz帯域",IF($D$10&gt;=150,IF($D$10&lt;=300,'Result_重量床衝撃音（範囲設定なし）'!AK37,'Result_重量床衝撃音（範囲設定なし）'!AK37),'Result_重量床衝撃音（範囲設定なし）'!AK37),IF($D$10&gt;=150,IF($D$10&lt;=350,IF($D$10&lt;=320,'Result_重量床衝撃音（範囲設定なし）'!AK38,'Result_重量床衝撃音（範囲設定なし）'!AK38),'Result_重量床衝撃音（範囲設定なし）'!AK38),'Result_重量床衝撃音（範囲設定なし）'!AK38))),"")))</f>
        <v/>
      </c>
      <c r="C45" s="1043"/>
      <c r="D45" s="1043"/>
      <c r="E45" s="1043"/>
      <c r="F45" s="1043"/>
      <c r="G45" s="1043"/>
      <c r="H45" s="1043"/>
      <c r="I45" s="1043"/>
      <c r="J45" s="1043"/>
      <c r="K45" s="1043"/>
      <c r="L45" s="1043"/>
      <c r="M45" s="1043"/>
      <c r="N45" s="248"/>
      <c r="O45" s="248"/>
      <c r="P45" s="8"/>
      <c r="Q45" s="8"/>
      <c r="R45" s="8"/>
      <c r="S45" s="8"/>
      <c r="T45" s="8"/>
      <c r="U45" s="8"/>
      <c r="V45" s="8"/>
      <c r="W45" s="8"/>
      <c r="X45" s="248"/>
      <c r="Y45" s="248"/>
      <c r="Z45" s="248"/>
      <c r="AA45" s="248"/>
      <c r="AB45" s="1030" t="str">
        <f>INPUT!AD55</f>
        <v>音・熱環境研究会 ver3.3</v>
      </c>
      <c r="AC45" s="1030"/>
      <c r="AD45" s="1030"/>
      <c r="AE45" s="1030"/>
      <c r="AF45" s="1030"/>
      <c r="AG45" s="249"/>
    </row>
    <row r="46" spans="1:35" ht="6.75" customHeight="1" thickBot="1" x14ac:dyDescent="0.25">
      <c r="A46" s="271"/>
      <c r="B46" s="272"/>
      <c r="C46" s="272"/>
      <c r="D46" s="272"/>
      <c r="E46" s="272"/>
      <c r="F46" s="273"/>
      <c r="G46" s="273"/>
      <c r="H46" s="273"/>
      <c r="I46" s="273"/>
      <c r="J46" s="273"/>
      <c r="K46" s="273"/>
      <c r="L46" s="273"/>
      <c r="M46" s="273"/>
      <c r="N46" s="274"/>
      <c r="O46" s="274"/>
      <c r="P46" s="274"/>
      <c r="Q46" s="274"/>
      <c r="R46" s="274"/>
      <c r="S46" s="274"/>
      <c r="T46" s="274"/>
      <c r="U46" s="274"/>
      <c r="V46" s="274"/>
      <c r="W46" s="274"/>
      <c r="X46" s="274"/>
      <c r="Y46" s="274"/>
      <c r="Z46" s="274"/>
      <c r="AA46" s="274"/>
      <c r="AB46" s="274"/>
      <c r="AC46" s="274"/>
      <c r="AD46" s="274"/>
      <c r="AE46" s="274"/>
      <c r="AF46" s="274"/>
      <c r="AG46" s="275"/>
    </row>
  </sheetData>
  <sheetProtection password="A982" sheet="1" objects="1" scenarios="1"/>
  <protectedRanges>
    <protectedRange sqref="AE3" name="範囲1"/>
  </protectedRanges>
  <mergeCells count="163">
    <mergeCell ref="AB45:AF45"/>
    <mergeCell ref="B43:E43"/>
    <mergeCell ref="F43:G43"/>
    <mergeCell ref="H43:I43"/>
    <mergeCell ref="J43:K43"/>
    <mergeCell ref="L43:M43"/>
    <mergeCell ref="B44:E44"/>
    <mergeCell ref="F44:M44"/>
    <mergeCell ref="F41:G41"/>
    <mergeCell ref="H41:I41"/>
    <mergeCell ref="J41:K41"/>
    <mergeCell ref="L41:M41"/>
    <mergeCell ref="F42:G42"/>
    <mergeCell ref="H42:I42"/>
    <mergeCell ref="J42:K42"/>
    <mergeCell ref="L42:M42"/>
    <mergeCell ref="B45:M45"/>
    <mergeCell ref="F40:G40"/>
    <mergeCell ref="H40:I40"/>
    <mergeCell ref="J40:K40"/>
    <mergeCell ref="L40:M40"/>
    <mergeCell ref="B37:E37"/>
    <mergeCell ref="F37:G37"/>
    <mergeCell ref="H37:I37"/>
    <mergeCell ref="J37:K37"/>
    <mergeCell ref="L37:M37"/>
    <mergeCell ref="B38:D42"/>
    <mergeCell ref="F38:G38"/>
    <mergeCell ref="H38:I38"/>
    <mergeCell ref="J38:K38"/>
    <mergeCell ref="L38:M38"/>
    <mergeCell ref="B36:E36"/>
    <mergeCell ref="F36:G36"/>
    <mergeCell ref="H36:I36"/>
    <mergeCell ref="J36:K36"/>
    <mergeCell ref="L36:M36"/>
    <mergeCell ref="F39:G39"/>
    <mergeCell ref="H39:I39"/>
    <mergeCell ref="J39:K39"/>
    <mergeCell ref="L39:M39"/>
    <mergeCell ref="B34:E34"/>
    <mergeCell ref="F34:G34"/>
    <mergeCell ref="H34:I34"/>
    <mergeCell ref="J34:K34"/>
    <mergeCell ref="L34:M34"/>
    <mergeCell ref="B35:E35"/>
    <mergeCell ref="F35:G35"/>
    <mergeCell ref="H35:I35"/>
    <mergeCell ref="J35:K35"/>
    <mergeCell ref="L35:M35"/>
    <mergeCell ref="B32:E32"/>
    <mergeCell ref="F32:G32"/>
    <mergeCell ref="H32:I32"/>
    <mergeCell ref="J32:K32"/>
    <mergeCell ref="L32:M32"/>
    <mergeCell ref="B33:E33"/>
    <mergeCell ref="F33:G33"/>
    <mergeCell ref="H33:I33"/>
    <mergeCell ref="J33:K33"/>
    <mergeCell ref="L33:M33"/>
    <mergeCell ref="F28:G28"/>
    <mergeCell ref="H28:I28"/>
    <mergeCell ref="J28:K28"/>
    <mergeCell ref="L28:M28"/>
    <mergeCell ref="B31:E31"/>
    <mergeCell ref="F31:G31"/>
    <mergeCell ref="H31:I31"/>
    <mergeCell ref="J31:K31"/>
    <mergeCell ref="L31:M31"/>
    <mergeCell ref="J22:K22"/>
    <mergeCell ref="L22:M22"/>
    <mergeCell ref="B25:E25"/>
    <mergeCell ref="F25:G25"/>
    <mergeCell ref="H25:I25"/>
    <mergeCell ref="J25:K25"/>
    <mergeCell ref="L25:M25"/>
    <mergeCell ref="B26:D30"/>
    <mergeCell ref="F26:G26"/>
    <mergeCell ref="H26:I26"/>
    <mergeCell ref="J26:K26"/>
    <mergeCell ref="L26:M26"/>
    <mergeCell ref="F29:G29"/>
    <mergeCell ref="H29:I29"/>
    <mergeCell ref="J29:K29"/>
    <mergeCell ref="L29:M29"/>
    <mergeCell ref="F30:G30"/>
    <mergeCell ref="H30:I30"/>
    <mergeCell ref="J30:K30"/>
    <mergeCell ref="L30:M30"/>
    <mergeCell ref="F27:G27"/>
    <mergeCell ref="H27:I27"/>
    <mergeCell ref="J27:K27"/>
    <mergeCell ref="L27:M27"/>
    <mergeCell ref="B19:E19"/>
    <mergeCell ref="F19:G19"/>
    <mergeCell ref="H19:I19"/>
    <mergeCell ref="J19:K19"/>
    <mergeCell ref="L19:M19"/>
    <mergeCell ref="B20:D24"/>
    <mergeCell ref="F20:G20"/>
    <mergeCell ref="H20:I20"/>
    <mergeCell ref="J20:K20"/>
    <mergeCell ref="L20:M20"/>
    <mergeCell ref="F23:G23"/>
    <mergeCell ref="H23:I23"/>
    <mergeCell ref="J23:K23"/>
    <mergeCell ref="L23:M23"/>
    <mergeCell ref="F24:G24"/>
    <mergeCell ref="H24:I24"/>
    <mergeCell ref="J24:K24"/>
    <mergeCell ref="L24:M24"/>
    <mergeCell ref="F21:G21"/>
    <mergeCell ref="H21:I21"/>
    <mergeCell ref="J21:K21"/>
    <mergeCell ref="L21:M21"/>
    <mergeCell ref="F22:G22"/>
    <mergeCell ref="H22:I22"/>
    <mergeCell ref="B18:E18"/>
    <mergeCell ref="F18:G18"/>
    <mergeCell ref="H18:I18"/>
    <mergeCell ref="J18:K18"/>
    <mergeCell ref="L18:M18"/>
    <mergeCell ref="AN18:AO18"/>
    <mergeCell ref="AN14:AO14"/>
    <mergeCell ref="AN15:AO15"/>
    <mergeCell ref="B16:M16"/>
    <mergeCell ref="AN16:AO16"/>
    <mergeCell ref="B17:E17"/>
    <mergeCell ref="F17:G17"/>
    <mergeCell ref="H17:I17"/>
    <mergeCell ref="J17:K17"/>
    <mergeCell ref="L17:M17"/>
    <mergeCell ref="AN17:AO17"/>
    <mergeCell ref="J11:M11"/>
    <mergeCell ref="E12:F12"/>
    <mergeCell ref="H12:M12"/>
    <mergeCell ref="B13:C13"/>
    <mergeCell ref="B14:C14"/>
    <mergeCell ref="F14:G14"/>
    <mergeCell ref="B9:C9"/>
    <mergeCell ref="H9:I9"/>
    <mergeCell ref="B10:C10"/>
    <mergeCell ref="F10:G10"/>
    <mergeCell ref="H10:I10"/>
    <mergeCell ref="B11:C11"/>
    <mergeCell ref="E11:F11"/>
    <mergeCell ref="H11:I11"/>
    <mergeCell ref="F9:G9"/>
    <mergeCell ref="F13:G13"/>
    <mergeCell ref="B12:C12"/>
    <mergeCell ref="B6:D6"/>
    <mergeCell ref="F6:M6"/>
    <mergeCell ref="B7:D7"/>
    <mergeCell ref="F7:M7"/>
    <mergeCell ref="B8:C8"/>
    <mergeCell ref="D8:G8"/>
    <mergeCell ref="H8:I8"/>
    <mergeCell ref="B2:M2"/>
    <mergeCell ref="P2:AF2"/>
    <mergeCell ref="AE3:AF3"/>
    <mergeCell ref="B4:M4"/>
    <mergeCell ref="B5:D5"/>
    <mergeCell ref="F5:M5"/>
  </mergeCells>
  <phoneticPr fontId="2"/>
  <printOptions horizontalCentered="1" verticalCentered="1"/>
  <pageMargins left="0.35433070866141736" right="0.35433070866141736" top="0.27559055118110237" bottom="0.31496062992125984" header="0.31496062992125984" footer="0.39370078740157483"/>
  <pageSetup paperSize="9" scale="6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7"/>
    <pageSetUpPr fitToPage="1"/>
  </sheetPr>
  <dimension ref="A1:AO109"/>
  <sheetViews>
    <sheetView showGridLines="0" zoomScale="70" zoomScaleNormal="70" zoomScaleSheetLayoutView="85" workbookViewId="0">
      <selection activeCell="D10" sqref="D10"/>
    </sheetView>
  </sheetViews>
  <sheetFormatPr defaultColWidth="8.85546875" defaultRowHeight="15.6" customHeight="1" x14ac:dyDescent="0.2"/>
  <cols>
    <col min="1" max="1" width="1.42578125" style="7" customWidth="1"/>
    <col min="2" max="5" width="6.42578125" style="7" customWidth="1"/>
    <col min="6" max="21" width="4.28515625" style="7" customWidth="1"/>
    <col min="22" max="23" width="1.42578125" style="7" customWidth="1"/>
    <col min="24" max="39" width="5.85546875" style="7" customWidth="1"/>
    <col min="40" max="40" width="7.42578125" style="7" customWidth="1"/>
    <col min="41" max="41" width="1.42578125" style="7" customWidth="1"/>
    <col min="42" max="16384" width="8.85546875" style="7"/>
  </cols>
  <sheetData>
    <row r="1" spans="1:41" ht="7.9" customHeight="1" x14ac:dyDescent="0.2">
      <c r="A1" s="243"/>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5"/>
    </row>
    <row r="2" spans="1:41" ht="22.5" customHeight="1" x14ac:dyDescent="0.2">
      <c r="A2" s="246"/>
      <c r="B2" s="938" t="s">
        <v>453</v>
      </c>
      <c r="C2" s="939"/>
      <c r="D2" s="939"/>
      <c r="E2" s="939"/>
      <c r="F2" s="939"/>
      <c r="G2" s="939"/>
      <c r="H2" s="939"/>
      <c r="I2" s="939"/>
      <c r="J2" s="939"/>
      <c r="K2" s="939"/>
      <c r="L2" s="939"/>
      <c r="M2" s="939"/>
      <c r="N2" s="939"/>
      <c r="O2" s="939"/>
      <c r="P2" s="939"/>
      <c r="Q2" s="939"/>
      <c r="R2" s="939"/>
      <c r="S2" s="939"/>
      <c r="T2" s="939"/>
      <c r="U2" s="939"/>
      <c r="V2" s="276"/>
      <c r="W2" s="276"/>
      <c r="X2" s="940">
        <f ca="1">TODAY()</f>
        <v>44951</v>
      </c>
      <c r="Y2" s="1080"/>
      <c r="Z2" s="1080"/>
      <c r="AA2" s="1080"/>
      <c r="AB2" s="1080"/>
      <c r="AC2" s="1080"/>
      <c r="AD2" s="1080"/>
      <c r="AE2" s="1080"/>
      <c r="AF2" s="1080"/>
      <c r="AG2" s="1081"/>
      <c r="AH2" s="1081"/>
      <c r="AI2" s="1081"/>
      <c r="AJ2" s="1081"/>
      <c r="AK2" s="1081"/>
      <c r="AL2" s="1081"/>
      <c r="AM2" s="1081"/>
      <c r="AN2" s="1082"/>
      <c r="AO2" s="249"/>
    </row>
    <row r="3" spans="1:41" ht="16.899999999999999" customHeight="1" x14ac:dyDescent="0.2">
      <c r="A3" s="246"/>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943"/>
      <c r="AM3" s="943"/>
      <c r="AN3" s="248"/>
      <c r="AO3" s="249"/>
    </row>
    <row r="4" spans="1:41" ht="19.5" customHeight="1" x14ac:dyDescent="0.2">
      <c r="A4" s="246"/>
      <c r="B4" s="1087" t="s">
        <v>463</v>
      </c>
      <c r="C4" s="1088"/>
      <c r="D4" s="1088"/>
      <c r="E4" s="1088"/>
      <c r="F4" s="1088"/>
      <c r="G4" s="1088"/>
      <c r="H4" s="1088"/>
      <c r="I4" s="1088"/>
      <c r="J4" s="1088"/>
      <c r="K4" s="1088"/>
      <c r="L4" s="1088"/>
      <c r="M4" s="1088"/>
      <c r="N4" s="1088"/>
      <c r="O4" s="1088"/>
      <c r="P4" s="1088"/>
      <c r="Q4" s="1088"/>
      <c r="R4" s="1088"/>
      <c r="S4" s="1088"/>
      <c r="T4" s="1088"/>
      <c r="U4" s="1089"/>
      <c r="V4" s="248"/>
      <c r="W4" s="248"/>
      <c r="X4" s="250"/>
      <c r="Y4" s="250"/>
      <c r="Z4" s="250"/>
      <c r="AA4" s="250"/>
      <c r="AB4" s="250"/>
      <c r="AC4" s="250"/>
      <c r="AD4" s="250"/>
      <c r="AE4" s="250"/>
      <c r="AF4" s="250"/>
      <c r="AG4" s="250"/>
      <c r="AH4" s="250"/>
      <c r="AI4" s="250"/>
      <c r="AJ4" s="250"/>
      <c r="AK4" s="250"/>
      <c r="AL4" s="250"/>
      <c r="AM4" s="250"/>
      <c r="AN4" s="248"/>
      <c r="AO4" s="249"/>
    </row>
    <row r="5" spans="1:41" ht="18.75" customHeight="1" x14ac:dyDescent="0.2">
      <c r="A5" s="246"/>
      <c r="B5" s="947" t="s">
        <v>324</v>
      </c>
      <c r="C5" s="1094"/>
      <c r="D5" s="1094"/>
      <c r="E5" s="1095"/>
      <c r="F5" s="251" t="s">
        <v>454</v>
      </c>
      <c r="G5" s="1092" t="str">
        <f>IF(INPUT!E2&lt;&gt;"",INPUT!E2,"")</f>
        <v/>
      </c>
      <c r="H5" s="1095"/>
      <c r="I5" s="1095"/>
      <c r="J5" s="1095"/>
      <c r="K5" s="1095"/>
      <c r="L5" s="1095"/>
      <c r="M5" s="1095"/>
      <c r="N5" s="1095"/>
      <c r="O5" s="1095"/>
      <c r="P5" s="1095"/>
      <c r="Q5" s="1095"/>
      <c r="R5" s="1095"/>
      <c r="S5" s="1095"/>
      <c r="T5" s="1095"/>
      <c r="U5" s="1097"/>
      <c r="V5" s="248"/>
      <c r="W5" s="248"/>
      <c r="X5" s="250"/>
      <c r="Y5" s="250"/>
      <c r="Z5" s="250"/>
      <c r="AA5" s="250"/>
      <c r="AB5" s="250"/>
      <c r="AC5" s="250"/>
      <c r="AD5" s="250"/>
      <c r="AE5" s="250"/>
      <c r="AF5" s="250"/>
      <c r="AG5" s="250"/>
      <c r="AH5" s="250"/>
      <c r="AI5" s="250"/>
      <c r="AJ5" s="250"/>
      <c r="AK5" s="250"/>
      <c r="AL5" s="250"/>
      <c r="AM5" s="250"/>
      <c r="AN5" s="248"/>
      <c r="AO5" s="249"/>
    </row>
    <row r="6" spans="1:41" ht="18.75" customHeight="1" x14ac:dyDescent="0.2">
      <c r="A6" s="246"/>
      <c r="B6" s="947" t="s">
        <v>325</v>
      </c>
      <c r="C6" s="1094"/>
      <c r="D6" s="1094"/>
      <c r="E6" s="1095"/>
      <c r="F6" s="251" t="s">
        <v>455</v>
      </c>
      <c r="G6" s="1092" t="str">
        <f>IF(INPUT!E3&lt;&gt;"",INPUT!E3,"")</f>
        <v/>
      </c>
      <c r="H6" s="1095"/>
      <c r="I6" s="1095"/>
      <c r="J6" s="1095"/>
      <c r="K6" s="1095"/>
      <c r="L6" s="1095"/>
      <c r="M6" s="1095"/>
      <c r="N6" s="1095"/>
      <c r="O6" s="1095"/>
      <c r="P6" s="1095"/>
      <c r="Q6" s="1095"/>
      <c r="R6" s="1095"/>
      <c r="S6" s="1095"/>
      <c r="T6" s="1095"/>
      <c r="U6" s="1097"/>
      <c r="V6" s="248"/>
      <c r="W6" s="248"/>
      <c r="X6" s="250"/>
      <c r="Y6" s="250"/>
      <c r="Z6" s="250"/>
      <c r="AA6" s="250"/>
      <c r="AB6" s="250"/>
      <c r="AC6" s="250"/>
      <c r="AD6" s="250"/>
      <c r="AE6" s="250"/>
      <c r="AF6" s="250"/>
      <c r="AG6" s="250"/>
      <c r="AH6" s="250"/>
      <c r="AI6" s="250"/>
      <c r="AJ6" s="250"/>
      <c r="AK6" s="250"/>
      <c r="AL6" s="250"/>
      <c r="AM6" s="250"/>
      <c r="AN6" s="248"/>
      <c r="AO6" s="249"/>
    </row>
    <row r="7" spans="1:41" ht="18.75" customHeight="1" x14ac:dyDescent="0.2">
      <c r="A7" s="246"/>
      <c r="B7" s="928" t="s">
        <v>326</v>
      </c>
      <c r="C7" s="1096"/>
      <c r="D7" s="1096"/>
      <c r="E7" s="1085"/>
      <c r="F7" s="254" t="s">
        <v>455</v>
      </c>
      <c r="G7" s="1084" t="str">
        <f>IF(INPUT!E4&lt;&gt;"",INPUT!E4,"")</f>
        <v/>
      </c>
      <c r="H7" s="1085"/>
      <c r="I7" s="1085"/>
      <c r="J7" s="1085"/>
      <c r="K7" s="1085"/>
      <c r="L7" s="1085"/>
      <c r="M7" s="1085"/>
      <c r="N7" s="1085"/>
      <c r="O7" s="1085"/>
      <c r="P7" s="1085"/>
      <c r="Q7" s="1085"/>
      <c r="R7" s="1085"/>
      <c r="S7" s="1085"/>
      <c r="T7" s="1085"/>
      <c r="U7" s="1086"/>
      <c r="V7" s="248"/>
      <c r="W7" s="248"/>
      <c r="X7" s="248"/>
      <c r="Y7" s="248"/>
      <c r="Z7" s="248"/>
      <c r="AA7" s="248"/>
      <c r="AB7" s="248"/>
      <c r="AC7" s="248"/>
      <c r="AD7" s="248"/>
      <c r="AE7" s="248"/>
      <c r="AF7" s="248"/>
      <c r="AG7" s="248"/>
      <c r="AH7" s="248"/>
      <c r="AI7" s="248"/>
      <c r="AJ7" s="248"/>
      <c r="AK7" s="248"/>
      <c r="AL7" s="248"/>
      <c r="AM7" s="248"/>
      <c r="AN7" s="248"/>
      <c r="AO7" s="249"/>
    </row>
    <row r="8" spans="1:41" ht="18.75" customHeight="1" x14ac:dyDescent="0.2">
      <c r="A8" s="246"/>
      <c r="B8" s="932" t="s">
        <v>91</v>
      </c>
      <c r="C8" s="1064"/>
      <c r="D8" s="1092" t="str">
        <f>IF(Calculation!Q13&lt;&gt;"",IF(Calculation!Q13=1,"均質単板スラブ",IF(Calculation!Q13=2,"矩形中空合成スラブ",IF(Calculation!Q13=3,"穴あきPC板合成スラブ",IF(Calculation!Q13=4,"ハーフPca合成スラブ",IF(Calculation!Q13=5,"円形中空スラブ",IF(Calculation!Q13=6,"波型中空合成スラブ",IF(Calculation!Q13=7,"波型中空スラブ","NG"))))))),"")</f>
        <v>波型中空合成スラブ</v>
      </c>
      <c r="E8" s="1092"/>
      <c r="F8" s="1092"/>
      <c r="G8" s="1092"/>
      <c r="H8" s="1092"/>
      <c r="I8" s="1093"/>
      <c r="J8" s="1090" t="s">
        <v>98</v>
      </c>
      <c r="K8" s="1091"/>
      <c r="L8" s="1091"/>
      <c r="M8" s="1091"/>
      <c r="N8" s="1098">
        <f>IF(INPUT!G52&lt;&gt;"",INPUT!G52,"")</f>
        <v>20</v>
      </c>
      <c r="O8" s="1098"/>
      <c r="P8" s="1092" t="s">
        <v>439</v>
      </c>
      <c r="Q8" s="1092"/>
      <c r="R8" s="277"/>
      <c r="S8" s="277"/>
      <c r="T8" s="277"/>
      <c r="U8" s="278"/>
      <c r="V8" s="248"/>
      <c r="W8" s="248"/>
      <c r="X8" s="248"/>
      <c r="Y8" s="248"/>
      <c r="Z8" s="248"/>
      <c r="AA8" s="248"/>
      <c r="AB8" s="248"/>
      <c r="AC8" s="248"/>
      <c r="AD8" s="248"/>
      <c r="AE8" s="248"/>
      <c r="AF8" s="248"/>
      <c r="AG8" s="248"/>
      <c r="AH8" s="248"/>
      <c r="AI8" s="248"/>
      <c r="AJ8" s="248"/>
      <c r="AK8" s="248"/>
      <c r="AL8" s="248"/>
      <c r="AM8" s="248"/>
      <c r="AN8" s="248"/>
      <c r="AO8" s="249"/>
    </row>
    <row r="9" spans="1:41" ht="18.75" customHeight="1" x14ac:dyDescent="0.2">
      <c r="A9" s="246"/>
      <c r="B9" s="932" t="s">
        <v>92</v>
      </c>
      <c r="C9" s="1064"/>
      <c r="D9" s="255">
        <f>IF(INPUT!C15&lt;&gt;"",Calculation!C86,"")</f>
        <v>140</v>
      </c>
      <c r="E9" s="256" t="s">
        <v>456</v>
      </c>
      <c r="F9" s="256"/>
      <c r="G9" s="256"/>
      <c r="H9" s="256"/>
      <c r="I9" s="279"/>
      <c r="J9" s="932" t="s">
        <v>99</v>
      </c>
      <c r="K9" s="1064"/>
      <c r="L9" s="1064"/>
      <c r="M9" s="1064"/>
      <c r="N9" s="1098">
        <f>'Result_重量床衝撃音（範囲設定なし）'!J9</f>
        <v>102.5</v>
      </c>
      <c r="O9" s="1098"/>
      <c r="P9" s="1092" t="s">
        <v>439</v>
      </c>
      <c r="Q9" s="1092"/>
      <c r="R9" s="277"/>
      <c r="S9" s="277"/>
      <c r="T9" s="277"/>
      <c r="U9" s="278"/>
      <c r="V9" s="248"/>
      <c r="W9" s="248"/>
      <c r="X9" s="248"/>
      <c r="Y9" s="248"/>
      <c r="Z9" s="248"/>
      <c r="AA9" s="248"/>
      <c r="AB9" s="248"/>
      <c r="AC9" s="248"/>
      <c r="AD9" s="248"/>
      <c r="AE9" s="248"/>
      <c r="AF9" s="248"/>
      <c r="AG9" s="248"/>
      <c r="AH9" s="248"/>
      <c r="AI9" s="248"/>
      <c r="AJ9" s="248"/>
      <c r="AK9" s="248"/>
      <c r="AL9" s="248"/>
      <c r="AM9" s="248"/>
      <c r="AN9" s="248"/>
      <c r="AO9" s="249"/>
    </row>
    <row r="10" spans="1:41" ht="18.75" customHeight="1" x14ac:dyDescent="0.2">
      <c r="A10" s="246"/>
      <c r="B10" s="932" t="s">
        <v>97</v>
      </c>
      <c r="C10" s="1064"/>
      <c r="D10" s="257">
        <f>IF(D9&lt;&gt;"",Calculation!J86,"")</f>
        <v>146.6322265336799</v>
      </c>
      <c r="E10" s="252" t="s">
        <v>456</v>
      </c>
      <c r="F10" s="252"/>
      <c r="G10" s="252"/>
      <c r="H10" s="252"/>
      <c r="I10" s="253"/>
      <c r="J10" s="932" t="s">
        <v>100</v>
      </c>
      <c r="K10" s="1064"/>
      <c r="L10" s="1064"/>
      <c r="M10" s="1064"/>
      <c r="N10" s="1099">
        <f>IF(INPUT!O52&lt;&gt;"",INPUT!O52,"")</f>
        <v>2500</v>
      </c>
      <c r="O10" s="1099"/>
      <c r="P10" s="1092" t="s">
        <v>442</v>
      </c>
      <c r="Q10" s="1092"/>
      <c r="R10" s="277"/>
      <c r="S10" s="277"/>
      <c r="T10" s="277"/>
      <c r="U10" s="278"/>
      <c r="V10" s="248"/>
      <c r="W10" s="248"/>
      <c r="X10" s="248"/>
      <c r="Y10" s="248"/>
      <c r="Z10" s="248"/>
      <c r="AA10" s="248"/>
      <c r="AB10" s="248"/>
      <c r="AC10" s="248"/>
      <c r="AD10" s="248"/>
      <c r="AE10" s="248"/>
      <c r="AF10" s="248"/>
      <c r="AG10" s="248"/>
      <c r="AH10" s="248"/>
      <c r="AI10" s="248"/>
      <c r="AJ10" s="248"/>
      <c r="AK10" s="248"/>
      <c r="AL10" s="248"/>
      <c r="AM10" s="248"/>
      <c r="AN10" s="248"/>
      <c r="AO10" s="249"/>
    </row>
    <row r="11" spans="1:41" ht="18.75" customHeight="1" x14ac:dyDescent="0.2">
      <c r="A11" s="246"/>
      <c r="B11" s="959" t="s">
        <v>94</v>
      </c>
      <c r="C11" s="1065"/>
      <c r="D11" s="258" t="s">
        <v>465</v>
      </c>
      <c r="E11" s="961">
        <f>IF(INPUT!C21&lt;&gt;"",INPUT!C21,"")</f>
        <v>8000</v>
      </c>
      <c r="F11" s="961"/>
      <c r="G11" s="1066" t="s">
        <v>4</v>
      </c>
      <c r="H11" s="1066"/>
      <c r="I11" s="280"/>
      <c r="J11" s="932" t="s">
        <v>101</v>
      </c>
      <c r="K11" s="1064"/>
      <c r="L11" s="1064"/>
      <c r="M11" s="1064"/>
      <c r="N11" s="1044" t="str">
        <f>IF(INPUT!E51&lt;&gt;"",'Result_重量床衝撃音（範囲設定なし）'!J11,"")</f>
        <v xml:space="preserve"> フローリング仕上げ</v>
      </c>
      <c r="O11" s="1044"/>
      <c r="P11" s="1044"/>
      <c r="Q11" s="1044"/>
      <c r="R11" s="1044"/>
      <c r="S11" s="1044"/>
      <c r="T11" s="1044"/>
      <c r="U11" s="950"/>
      <c r="V11" s="248"/>
      <c r="W11" s="248"/>
      <c r="X11" s="248"/>
      <c r="Y11" s="248"/>
      <c r="Z11" s="248"/>
      <c r="AA11" s="248"/>
      <c r="AB11" s="248"/>
      <c r="AC11" s="248"/>
      <c r="AD11" s="248"/>
      <c r="AE11" s="248"/>
      <c r="AF11" s="248"/>
      <c r="AG11" s="248"/>
      <c r="AH11" s="248"/>
      <c r="AI11" s="248"/>
      <c r="AJ11" s="248"/>
      <c r="AK11" s="248"/>
      <c r="AL11" s="248"/>
      <c r="AM11" s="248"/>
      <c r="AN11" s="248"/>
      <c r="AO11" s="249"/>
    </row>
    <row r="12" spans="1:41" ht="18.75" customHeight="1" x14ac:dyDescent="0.2">
      <c r="A12" s="246"/>
      <c r="B12" s="260"/>
      <c r="C12" s="261"/>
      <c r="D12" s="254" t="s">
        <v>466</v>
      </c>
      <c r="E12" s="951">
        <f>IF(INPUT!C22&lt;&gt;"",INPUT!C22,"")</f>
        <v>9000</v>
      </c>
      <c r="F12" s="951"/>
      <c r="G12" s="1067" t="s">
        <v>4</v>
      </c>
      <c r="H12" s="1067"/>
      <c r="I12" s="281"/>
      <c r="J12" s="1045" t="s">
        <v>102</v>
      </c>
      <c r="K12" s="1044"/>
      <c r="L12" s="1044"/>
      <c r="M12" s="1044"/>
      <c r="N12" s="1044"/>
      <c r="O12" s="1044"/>
      <c r="P12" s="1044"/>
      <c r="Q12" s="1044"/>
      <c r="R12" s="1044"/>
      <c r="S12" s="1044"/>
      <c r="T12" s="1044"/>
      <c r="U12" s="950"/>
      <c r="V12" s="248"/>
      <c r="W12" s="248"/>
      <c r="X12" s="248"/>
      <c r="Y12" s="248"/>
      <c r="Z12" s="248"/>
      <c r="AA12" s="248"/>
      <c r="AB12" s="248"/>
      <c r="AC12" s="248"/>
      <c r="AD12" s="248"/>
      <c r="AE12" s="248"/>
      <c r="AF12" s="248"/>
      <c r="AG12" s="248"/>
      <c r="AH12" s="248"/>
      <c r="AI12" s="248"/>
      <c r="AJ12" s="248"/>
      <c r="AK12" s="248"/>
      <c r="AL12" s="248"/>
      <c r="AM12" s="248"/>
      <c r="AN12" s="248"/>
      <c r="AO12" s="249"/>
    </row>
    <row r="13" spans="1:41" ht="18.75" customHeight="1" x14ac:dyDescent="0.2">
      <c r="A13" s="246"/>
      <c r="B13" s="932" t="s">
        <v>96</v>
      </c>
      <c r="C13" s="1064"/>
      <c r="D13" s="313">
        <f>IF(INPUT!H21&lt;&gt;"",Calculation!H173,"")</f>
        <v>72</v>
      </c>
      <c r="E13" s="252" t="s">
        <v>457</v>
      </c>
      <c r="F13" s="252"/>
      <c r="G13" s="252"/>
      <c r="H13" s="252"/>
      <c r="I13" s="253"/>
      <c r="J13" s="1046" t="s">
        <v>458</v>
      </c>
      <c r="K13" s="1047"/>
      <c r="L13" s="1047" t="s">
        <v>459</v>
      </c>
      <c r="M13" s="1047"/>
      <c r="N13" s="1047" t="s">
        <v>460</v>
      </c>
      <c r="O13" s="1047"/>
      <c r="P13" s="1047" t="s">
        <v>447</v>
      </c>
      <c r="Q13" s="1047"/>
      <c r="R13" s="1074" t="s">
        <v>448</v>
      </c>
      <c r="S13" s="1074"/>
      <c r="T13" s="1074" t="s">
        <v>461</v>
      </c>
      <c r="U13" s="1075"/>
      <c r="V13" s="248"/>
      <c r="W13" s="248"/>
      <c r="X13" s="248"/>
      <c r="Y13" s="248"/>
      <c r="Z13" s="248"/>
      <c r="AA13" s="248"/>
      <c r="AB13" s="248"/>
      <c r="AC13" s="248"/>
      <c r="AD13" s="248"/>
      <c r="AE13" s="248"/>
      <c r="AF13" s="248"/>
      <c r="AG13" s="248"/>
      <c r="AH13" s="248"/>
      <c r="AI13" s="248"/>
      <c r="AJ13" s="248"/>
      <c r="AK13" s="248"/>
      <c r="AL13" s="248"/>
      <c r="AM13" s="248"/>
      <c r="AN13" s="248"/>
      <c r="AO13" s="249"/>
    </row>
    <row r="14" spans="1:41" ht="18.75" customHeight="1" x14ac:dyDescent="0.2">
      <c r="A14" s="246"/>
      <c r="B14" s="953" t="s">
        <v>449</v>
      </c>
      <c r="C14" s="933"/>
      <c r="D14" s="313">
        <f>IF(D13&lt;&gt;"",Calculation!H176,"")</f>
        <v>9.0106208852520506</v>
      </c>
      <c r="E14" s="252" t="s">
        <v>462</v>
      </c>
      <c r="F14" s="1077" t="str">
        <f>IF(D14&lt;&gt;"",Calculation!O176,"")</f>
        <v>8Hz帯域</v>
      </c>
      <c r="G14" s="1077"/>
      <c r="H14" s="1077"/>
      <c r="I14" s="1078"/>
      <c r="J14" s="1079">
        <f>'Result_重量床衝撃音（範囲設定なし）'!H14</f>
        <v>0.09</v>
      </c>
      <c r="K14" s="1076"/>
      <c r="L14" s="1076">
        <f>'Result_重量床衝撃音（範囲設定なし）'!I14</f>
        <v>0.09</v>
      </c>
      <c r="M14" s="1076"/>
      <c r="N14" s="1076">
        <f>'Result_重量床衝撃音（範囲設定なし）'!J14</f>
        <v>0.08</v>
      </c>
      <c r="O14" s="1076"/>
      <c r="P14" s="1076">
        <f>'Result_重量床衝撃音（範囲設定なし）'!K14</f>
        <v>7.0000000000000007E-2</v>
      </c>
      <c r="Q14" s="1076"/>
      <c r="R14" s="1076">
        <f>'Result_重量床衝撃音（範囲設定なし）'!L14</f>
        <v>7.0000000000000007E-2</v>
      </c>
      <c r="S14" s="1076"/>
      <c r="T14" s="1076">
        <f>'Result_重量床衝撃音（範囲設定なし）'!M14</f>
        <v>0.08</v>
      </c>
      <c r="U14" s="1100"/>
      <c r="V14" s="248"/>
      <c r="W14" s="248"/>
      <c r="X14" s="248"/>
      <c r="Y14" s="248"/>
      <c r="Z14" s="248"/>
      <c r="AA14" s="248"/>
      <c r="AB14" s="248"/>
      <c r="AC14" s="248"/>
      <c r="AD14" s="248"/>
      <c r="AE14" s="248"/>
      <c r="AF14" s="248"/>
      <c r="AG14" s="248"/>
      <c r="AH14" s="248"/>
      <c r="AI14" s="248"/>
      <c r="AJ14" s="248"/>
      <c r="AK14" s="248"/>
      <c r="AL14" s="248"/>
      <c r="AM14" s="248"/>
      <c r="AN14" s="248"/>
      <c r="AO14" s="249"/>
    </row>
    <row r="15" spans="1:41" ht="13.5" customHeight="1" x14ac:dyDescent="0.2">
      <c r="A15" s="246"/>
      <c r="B15" s="248"/>
      <c r="C15" s="248"/>
      <c r="D15" s="248"/>
      <c r="E15" s="248"/>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9"/>
    </row>
    <row r="16" spans="1:41" ht="19.5" customHeight="1" x14ac:dyDescent="0.2">
      <c r="A16" s="246"/>
      <c r="B16" s="1070" t="s">
        <v>464</v>
      </c>
      <c r="C16" s="1071"/>
      <c r="D16" s="1071"/>
      <c r="E16" s="1071"/>
      <c r="F16" s="1071"/>
      <c r="G16" s="1071"/>
      <c r="H16" s="1071"/>
      <c r="I16" s="1071"/>
      <c r="J16" s="1071"/>
      <c r="K16" s="1071"/>
      <c r="L16" s="1071"/>
      <c r="M16" s="1071"/>
      <c r="N16" s="1071"/>
      <c r="O16" s="1071"/>
      <c r="P16" s="1071"/>
      <c r="Q16" s="1071"/>
      <c r="R16" s="1071"/>
      <c r="S16" s="1071"/>
      <c r="T16" s="1072"/>
      <c r="U16" s="1073"/>
      <c r="V16" s="248"/>
      <c r="W16" s="248"/>
      <c r="X16" s="248"/>
      <c r="Y16" s="248"/>
      <c r="Z16" s="248"/>
      <c r="AA16" s="248"/>
      <c r="AB16" s="248"/>
      <c r="AC16" s="248"/>
      <c r="AD16" s="248"/>
      <c r="AE16" s="248"/>
      <c r="AF16" s="248"/>
      <c r="AG16" s="248"/>
      <c r="AH16" s="248"/>
      <c r="AI16" s="248"/>
      <c r="AJ16" s="248"/>
      <c r="AK16" s="248"/>
      <c r="AL16" s="248"/>
      <c r="AM16" s="248"/>
      <c r="AN16" s="248"/>
      <c r="AO16" s="249"/>
    </row>
    <row r="17" spans="1:41" ht="18" customHeight="1" x14ac:dyDescent="0.2">
      <c r="A17" s="246"/>
      <c r="B17" s="1069"/>
      <c r="C17" s="1054"/>
      <c r="D17" s="1054"/>
      <c r="E17" s="1054"/>
      <c r="F17" s="1054"/>
      <c r="G17" s="1068" t="s">
        <v>119</v>
      </c>
      <c r="H17" s="1050"/>
      <c r="I17" s="1050"/>
      <c r="J17" s="1068" t="s">
        <v>120</v>
      </c>
      <c r="K17" s="1054"/>
      <c r="L17" s="1054"/>
      <c r="M17" s="1068" t="s">
        <v>121</v>
      </c>
      <c r="N17" s="1054"/>
      <c r="O17" s="1054"/>
      <c r="P17" s="1068" t="s">
        <v>122</v>
      </c>
      <c r="Q17" s="1054"/>
      <c r="R17" s="1054"/>
      <c r="S17" s="1068" t="s">
        <v>123</v>
      </c>
      <c r="T17" s="1054"/>
      <c r="U17" s="1054"/>
      <c r="V17" s="248"/>
      <c r="W17" s="248"/>
      <c r="X17" s="248"/>
      <c r="Y17" s="248"/>
      <c r="Z17" s="248"/>
      <c r="AA17" s="248"/>
      <c r="AB17" s="248"/>
      <c r="AC17" s="248"/>
      <c r="AD17" s="248"/>
      <c r="AE17" s="248"/>
      <c r="AF17" s="248"/>
      <c r="AG17" s="248"/>
      <c r="AH17" s="248"/>
      <c r="AI17" s="248"/>
      <c r="AJ17" s="248"/>
      <c r="AK17" s="248"/>
      <c r="AL17" s="248"/>
      <c r="AM17" s="248"/>
      <c r="AN17" s="248"/>
      <c r="AO17" s="249"/>
    </row>
    <row r="18" spans="1:41" ht="18" customHeight="1" x14ac:dyDescent="0.2">
      <c r="A18" s="246"/>
      <c r="B18" s="1061" t="s">
        <v>302</v>
      </c>
      <c r="C18" s="1050"/>
      <c r="D18" s="1050"/>
      <c r="E18" s="1050"/>
      <c r="F18" s="1050"/>
      <c r="G18" s="1049">
        <f>IF(D10&lt;&gt;"",Calculation!H10,"")</f>
        <v>23.8</v>
      </c>
      <c r="H18" s="1050"/>
      <c r="I18" s="1050"/>
      <c r="J18" s="1049">
        <f>IF(D10&lt;&gt;"",Calculation!I10,"")</f>
        <v>26.8</v>
      </c>
      <c r="K18" s="1054"/>
      <c r="L18" s="1054"/>
      <c r="M18" s="1049">
        <f>IF(D10&lt;&gt;"",Calculation!J10,"")</f>
        <v>29.7</v>
      </c>
      <c r="N18" s="1054"/>
      <c r="O18" s="1054"/>
      <c r="P18" s="1049">
        <f>IF(D10&lt;&gt;"",Calculation!K10,"")</f>
        <v>32.299999999999997</v>
      </c>
      <c r="Q18" s="1054"/>
      <c r="R18" s="1054"/>
      <c r="S18" s="1049">
        <f>IF(D10&lt;&gt;"",Calculation!L10,"")</f>
        <v>33.5</v>
      </c>
      <c r="T18" s="1054"/>
      <c r="U18" s="1054"/>
      <c r="V18" s="248"/>
      <c r="W18" s="248"/>
      <c r="X18" s="248"/>
      <c r="Y18" s="248"/>
      <c r="Z18" s="248"/>
      <c r="AA18" s="248"/>
      <c r="AB18" s="248"/>
      <c r="AC18" s="248"/>
      <c r="AD18" s="248"/>
      <c r="AE18" s="248"/>
      <c r="AF18" s="248"/>
      <c r="AG18" s="248"/>
      <c r="AH18" s="248"/>
      <c r="AI18" s="248"/>
      <c r="AJ18" s="248"/>
      <c r="AK18" s="248"/>
      <c r="AL18" s="248"/>
      <c r="AM18" s="248"/>
      <c r="AN18" s="248"/>
      <c r="AO18" s="249"/>
    </row>
    <row r="19" spans="1:41" ht="18" customHeight="1" x14ac:dyDescent="0.2">
      <c r="A19" s="246"/>
      <c r="B19" s="1061" t="s">
        <v>303</v>
      </c>
      <c r="C19" s="1050"/>
      <c r="D19" s="1050"/>
      <c r="E19" s="1050"/>
      <c r="F19" s="1050"/>
      <c r="G19" s="1049">
        <f>IF(D10&lt;&gt;"",Calculation!E91,"")</f>
        <v>111.34080754140484</v>
      </c>
      <c r="H19" s="1050"/>
      <c r="I19" s="1050"/>
      <c r="J19" s="1049">
        <f>IF(D10&lt;&gt;"",G19,"")</f>
        <v>111.34080754140484</v>
      </c>
      <c r="K19" s="1054"/>
      <c r="L19" s="1054"/>
      <c r="M19" s="1049">
        <f>IF(D10&lt;&gt;"",J19,"")</f>
        <v>111.34080754140484</v>
      </c>
      <c r="N19" s="1054"/>
      <c r="O19" s="1054"/>
      <c r="P19" s="1049">
        <f>IF(D10&lt;&gt;"",M19,"")</f>
        <v>111.34080754140484</v>
      </c>
      <c r="Q19" s="1054"/>
      <c r="R19" s="1054"/>
      <c r="S19" s="1049">
        <f>IF(D10&lt;&gt;"",P19,"")</f>
        <v>111.34080754140484</v>
      </c>
      <c r="T19" s="1054"/>
      <c r="U19" s="1054"/>
      <c r="V19" s="248"/>
      <c r="W19" s="248"/>
      <c r="X19" s="248"/>
      <c r="Y19" s="248"/>
      <c r="Z19" s="248"/>
      <c r="AA19" s="248"/>
      <c r="AB19" s="248"/>
      <c r="AC19" s="248"/>
      <c r="AD19" s="248"/>
      <c r="AE19" s="248"/>
      <c r="AF19" s="248"/>
      <c r="AG19" s="248"/>
      <c r="AH19" s="248"/>
      <c r="AI19" s="248"/>
      <c r="AJ19" s="248"/>
      <c r="AK19" s="248"/>
      <c r="AL19" s="248"/>
      <c r="AM19" s="248"/>
      <c r="AN19" s="248"/>
      <c r="AO19" s="249"/>
    </row>
    <row r="20" spans="1:41" ht="18" customHeight="1" x14ac:dyDescent="0.2">
      <c r="A20" s="246"/>
      <c r="B20" s="1083" t="s">
        <v>310</v>
      </c>
      <c r="C20" s="1050"/>
      <c r="D20" s="1050"/>
      <c r="E20" s="1050"/>
      <c r="F20" s="1050"/>
      <c r="G20" s="1049">
        <f>IF(D10&lt;&gt;"",Calculation!H253,"")</f>
        <v>-0.7</v>
      </c>
      <c r="H20" s="1050"/>
      <c r="I20" s="1050"/>
      <c r="J20" s="1049">
        <f>IF(D10&lt;&gt;"",Calculation!I253,"")</f>
        <v>-2.2000000000000002</v>
      </c>
      <c r="K20" s="1054"/>
      <c r="L20" s="1054"/>
      <c r="M20" s="1049">
        <f>IF(D10&lt;&gt;"",Calculation!J253,"")</f>
        <v>-3.7</v>
      </c>
      <c r="N20" s="1054"/>
      <c r="O20" s="1054"/>
      <c r="P20" s="1049">
        <f>IF(D10&lt;&gt;"",Calculation!K253,"")</f>
        <v>-5.2</v>
      </c>
      <c r="Q20" s="1054"/>
      <c r="R20" s="1054"/>
      <c r="S20" s="1049">
        <f>IF(D10&lt;&gt;"",Calculation!L253,"")</f>
        <v>-5.2</v>
      </c>
      <c r="T20" s="1054"/>
      <c r="U20" s="1054"/>
      <c r="V20" s="248"/>
      <c r="W20" s="248"/>
      <c r="X20" s="248"/>
      <c r="Y20" s="248"/>
      <c r="Z20" s="248"/>
      <c r="AA20" s="248"/>
      <c r="AB20" s="248"/>
      <c r="AC20" s="248"/>
      <c r="AD20" s="248"/>
      <c r="AE20" s="248"/>
      <c r="AF20" s="248"/>
      <c r="AG20" s="248"/>
      <c r="AH20" s="248"/>
      <c r="AI20" s="248"/>
      <c r="AJ20" s="248"/>
      <c r="AK20" s="248"/>
      <c r="AL20" s="248"/>
      <c r="AM20" s="248"/>
      <c r="AN20" s="248"/>
      <c r="AO20" s="249"/>
    </row>
    <row r="21" spans="1:41" ht="18" customHeight="1" x14ac:dyDescent="0.2">
      <c r="A21" s="246"/>
      <c r="B21" s="1061" t="s">
        <v>309</v>
      </c>
      <c r="C21" s="1050"/>
      <c r="D21" s="1050"/>
      <c r="E21" s="1050"/>
      <c r="F21" s="1050"/>
      <c r="G21" s="1049">
        <f>IF(D10&lt;&gt;"",Calculation!M226,"")</f>
        <v>-1.5411827372019327</v>
      </c>
      <c r="H21" s="1050"/>
      <c r="I21" s="1050"/>
      <c r="J21" s="1049">
        <f>IF(D10&lt;&gt;"",Calculation!M227,"")</f>
        <v>-0.16984606480783637</v>
      </c>
      <c r="K21" s="1054"/>
      <c r="L21" s="1054"/>
      <c r="M21" s="1049">
        <f>IF(D10&lt;&gt;"",Calculation!M228,"")</f>
        <v>0</v>
      </c>
      <c r="N21" s="1054"/>
      <c r="O21" s="1054"/>
      <c r="P21" s="1049">
        <f>IF(D10&lt;&gt;"",Calculation!M229,"")</f>
        <v>0</v>
      </c>
      <c r="Q21" s="1054"/>
      <c r="R21" s="1054"/>
      <c r="S21" s="1049">
        <f>IF(D10&lt;&gt;"",Calculation!M230,"")</f>
        <v>0</v>
      </c>
      <c r="T21" s="1054"/>
      <c r="U21" s="1054"/>
      <c r="V21" s="248"/>
      <c r="W21" s="248"/>
      <c r="X21" s="248"/>
      <c r="Y21" s="248"/>
      <c r="Z21" s="248"/>
      <c r="AA21" s="248"/>
      <c r="AB21" s="248"/>
      <c r="AC21" s="248"/>
      <c r="AD21" s="248"/>
      <c r="AE21" s="248"/>
      <c r="AF21" s="248"/>
      <c r="AG21" s="248"/>
      <c r="AH21" s="248"/>
      <c r="AI21" s="248"/>
      <c r="AJ21" s="248"/>
      <c r="AK21" s="248"/>
      <c r="AL21" s="248"/>
      <c r="AM21" s="248"/>
      <c r="AN21" s="248"/>
      <c r="AO21" s="249"/>
    </row>
    <row r="22" spans="1:41" ht="18" customHeight="1" x14ac:dyDescent="0.2">
      <c r="A22" s="246"/>
      <c r="B22" s="1061" t="s">
        <v>311</v>
      </c>
      <c r="C22" s="1050"/>
      <c r="D22" s="1050"/>
      <c r="E22" s="1050"/>
      <c r="F22" s="1050"/>
      <c r="G22" s="1049">
        <f>IF(D10&lt;&gt;"",Calculation!H256,"")</f>
        <v>-8.337705708432507</v>
      </c>
      <c r="H22" s="1050"/>
      <c r="I22" s="1050"/>
      <c r="J22" s="1049">
        <f>IF(D10&lt;&gt;"",Calculation!I256,"")</f>
        <v>-8.337705708432507</v>
      </c>
      <c r="K22" s="1054"/>
      <c r="L22" s="1054"/>
      <c r="M22" s="1049">
        <f>IF(D10&lt;&gt;"",Calculation!J256,"")</f>
        <v>-8.337705708432507</v>
      </c>
      <c r="N22" s="1054"/>
      <c r="O22" s="1054"/>
      <c r="P22" s="1049">
        <f>IF(D10&lt;&gt;"",Calculation!K256,"")</f>
        <v>-8.337705708432507</v>
      </c>
      <c r="Q22" s="1054"/>
      <c r="R22" s="1054"/>
      <c r="S22" s="1049">
        <f>IF(D10&lt;&gt;"",Calculation!L256,"")</f>
        <v>-8.337705708432507</v>
      </c>
      <c r="T22" s="1054"/>
      <c r="U22" s="1054"/>
      <c r="V22" s="248"/>
      <c r="W22" s="248"/>
      <c r="X22" s="248"/>
      <c r="Y22" s="248"/>
      <c r="Z22" s="248"/>
      <c r="AA22" s="248"/>
      <c r="AB22" s="248"/>
      <c r="AC22" s="248"/>
      <c r="AD22" s="248"/>
      <c r="AE22" s="248"/>
      <c r="AF22" s="248"/>
      <c r="AG22" s="248"/>
      <c r="AH22" s="248"/>
      <c r="AI22" s="248"/>
      <c r="AJ22" s="248"/>
      <c r="AK22" s="248"/>
      <c r="AL22" s="248"/>
      <c r="AM22" s="248"/>
      <c r="AN22" s="248"/>
      <c r="AO22" s="249"/>
    </row>
    <row r="23" spans="1:41" ht="18" customHeight="1" x14ac:dyDescent="0.2">
      <c r="A23" s="246"/>
      <c r="B23" s="1063" t="s">
        <v>469</v>
      </c>
      <c r="C23" s="1056"/>
      <c r="D23" s="1056"/>
      <c r="E23" s="1056"/>
      <c r="F23" s="1056"/>
      <c r="G23" s="1055">
        <f>IF($N$9&lt;&gt;"",IF(L14&lt;&gt;"",IF(L15&lt;&gt;"NG",$N$9*L14,""),""),"")</f>
        <v>9.2249999999999996</v>
      </c>
      <c r="H23" s="1056"/>
      <c r="I23" s="1056"/>
      <c r="J23" s="1055">
        <f>IF($N$9&lt;&gt;"",IF(N14&lt;&gt;"",IF(N15&lt;&gt;"NG",$N$9*N14,""),""),"")</f>
        <v>8.1999999999999993</v>
      </c>
      <c r="K23" s="1060"/>
      <c r="L23" s="1060"/>
      <c r="M23" s="1055">
        <f>IF($N$9&lt;&gt;"",IF(P14&lt;&gt;"",IF(P15&lt;&gt;"NG",$N$9*P14,""),""),"")</f>
        <v>7.1750000000000007</v>
      </c>
      <c r="N23" s="1060"/>
      <c r="O23" s="1060"/>
      <c r="P23" s="1055">
        <f>IF($N$9&lt;&gt;"",IF(R14&lt;&gt;"",IF(R15&lt;&gt;"NG",$N$9*R14,""),""),"")</f>
        <v>7.1750000000000007</v>
      </c>
      <c r="Q23" s="1060"/>
      <c r="R23" s="1060"/>
      <c r="S23" s="1055">
        <f>IF($N$9&lt;&gt;"",IF(T14&lt;&gt;"",IF(T15&lt;&gt;"NG",$N$9*T14,""),""),"")</f>
        <v>8.1999999999999993</v>
      </c>
      <c r="T23" s="1060"/>
      <c r="U23" s="1060"/>
      <c r="V23" s="248"/>
      <c r="W23" s="248"/>
      <c r="X23" s="248"/>
      <c r="Y23" s="248"/>
      <c r="Z23" s="248"/>
      <c r="AA23" s="248"/>
      <c r="AB23" s="248"/>
      <c r="AC23" s="248"/>
      <c r="AD23" s="248"/>
      <c r="AE23" s="248"/>
      <c r="AF23" s="248"/>
      <c r="AG23" s="248"/>
      <c r="AH23" s="248"/>
      <c r="AI23" s="248"/>
      <c r="AJ23" s="248"/>
      <c r="AK23" s="248"/>
      <c r="AL23" s="248"/>
      <c r="AM23" s="248"/>
      <c r="AN23" s="248"/>
      <c r="AO23" s="249"/>
    </row>
    <row r="24" spans="1:41" ht="18" customHeight="1" x14ac:dyDescent="0.2">
      <c r="A24" s="246"/>
      <c r="B24" s="1062" t="s">
        <v>116</v>
      </c>
      <c r="C24" s="1058"/>
      <c r="D24" s="1058"/>
      <c r="E24" s="1058"/>
      <c r="F24" s="1058"/>
      <c r="G24" s="1057">
        <f>IF(G23&lt;&gt;"",10*LOG10(G23),"")</f>
        <v>9.6496637483109797</v>
      </c>
      <c r="H24" s="1058"/>
      <c r="I24" s="1058"/>
      <c r="J24" s="1057">
        <f t="shared" ref="J24" si="0">IF(J23&lt;&gt;"",10*LOG10(J23),"")</f>
        <v>9.1381385238371671</v>
      </c>
      <c r="K24" s="1059"/>
      <c r="L24" s="1059"/>
      <c r="M24" s="1057">
        <f t="shared" ref="M24" si="1">IF(M23&lt;&gt;"",10*LOG10(M23),"")</f>
        <v>8.5582190540603005</v>
      </c>
      <c r="N24" s="1059"/>
      <c r="O24" s="1059"/>
      <c r="P24" s="1057">
        <f t="shared" ref="P24" si="2">IF(P23&lt;&gt;"",10*LOG10(P23),"")</f>
        <v>8.5582190540603005</v>
      </c>
      <c r="Q24" s="1059"/>
      <c r="R24" s="1059"/>
      <c r="S24" s="1057">
        <f t="shared" ref="S24" si="3">IF(S23&lt;&gt;"",10*LOG10(S23),"")</f>
        <v>9.1381385238371671</v>
      </c>
      <c r="T24" s="1059"/>
      <c r="U24" s="1059"/>
      <c r="V24" s="248"/>
      <c r="W24" s="248"/>
      <c r="X24" s="248"/>
      <c r="Y24" s="248"/>
      <c r="Z24" s="248"/>
      <c r="AA24" s="248"/>
      <c r="AB24" s="248"/>
      <c r="AC24" s="248"/>
      <c r="AD24" s="248"/>
      <c r="AE24" s="248"/>
      <c r="AF24" s="248"/>
      <c r="AG24" s="248"/>
      <c r="AH24" s="248"/>
      <c r="AI24" s="248"/>
      <c r="AJ24" s="248"/>
      <c r="AK24" s="248"/>
      <c r="AL24" s="248"/>
      <c r="AM24" s="248"/>
      <c r="AN24" s="248"/>
      <c r="AO24" s="249"/>
    </row>
    <row r="25" spans="1:41" ht="18" customHeight="1" x14ac:dyDescent="0.2">
      <c r="A25" s="246"/>
      <c r="B25" s="1061" t="s">
        <v>298</v>
      </c>
      <c r="C25" s="1050"/>
      <c r="D25" s="1050"/>
      <c r="E25" s="1050"/>
      <c r="F25" s="1050"/>
      <c r="G25" s="1051">
        <f>IF($D$10&lt;&gt;"",IF(G23&lt;&gt;"",ROUNDUP(ROUND(G18,1)-ROUND(G19,1)+ROUND(G20,1)+ROUND(G21,1)+ROUND(G22,1)-ROUND(G24,1)+173.5,0),""),"")</f>
        <v>66</v>
      </c>
      <c r="H25" s="1050"/>
      <c r="I25" s="1050"/>
      <c r="J25" s="1051">
        <f>IF($D$10&lt;&gt;"",IF(J23&lt;&gt;"",ROUNDUP(ROUND(J18,1)-ROUND(J19,1)+ROUND(J20,1)+ROUND(J21,1)+ROUND(J22,1)-ROUND(J24,1)+173.5,0),""),"")</f>
        <v>70</v>
      </c>
      <c r="K25" s="1054"/>
      <c r="L25" s="1054"/>
      <c r="M25" s="1051">
        <f>IF($D$10&lt;&gt;"",IF(M23&lt;&gt;"",ROUNDUP(ROUND(M18,1)-ROUND(M19,1)+ROUND(M20,1)+ROUND(M21,1)+ROUND(M22,1)-ROUND(M24,1)+173.5,0),""),"")</f>
        <v>72</v>
      </c>
      <c r="N25" s="1054"/>
      <c r="O25" s="1054"/>
      <c r="P25" s="1051">
        <f>IF($D$10&lt;&gt;"",IF(P23&lt;&gt;"",ROUNDUP(ROUND(P18,1)-ROUND(P19,1)+ROUND(P20,1)+ROUND(P21,1)+ROUND(P22,1)-ROUND(P24,1)+173.5,0),""),"")</f>
        <v>73</v>
      </c>
      <c r="Q25" s="1054"/>
      <c r="R25" s="1054"/>
      <c r="S25" s="1051">
        <f>IF($D$10&lt;&gt;"",IF(S23&lt;&gt;"",ROUNDUP(ROUND(S18,1)-ROUND(S19,1)+ROUND(S20,1)+ROUND(S21,1)+ROUND(S22,1)-ROUND(S24,1)+173.5,0),""),"")</f>
        <v>74</v>
      </c>
      <c r="T25" s="1054"/>
      <c r="U25" s="1054"/>
      <c r="V25" s="248"/>
      <c r="W25" s="248"/>
      <c r="X25" s="248"/>
      <c r="Y25" s="248"/>
      <c r="Z25" s="248"/>
      <c r="AA25" s="248"/>
      <c r="AB25" s="248"/>
      <c r="AC25" s="248"/>
      <c r="AD25" s="248"/>
      <c r="AE25" s="248"/>
      <c r="AF25" s="248"/>
      <c r="AG25" s="248"/>
      <c r="AH25" s="248"/>
      <c r="AI25" s="248"/>
      <c r="AJ25" s="248"/>
      <c r="AK25" s="248"/>
      <c r="AL25" s="248"/>
      <c r="AM25" s="248"/>
      <c r="AN25" s="248"/>
      <c r="AO25" s="249"/>
    </row>
    <row r="26" spans="1:41" ht="19.5" customHeight="1" x14ac:dyDescent="0.2">
      <c r="A26" s="246"/>
      <c r="B26" s="1048" t="s">
        <v>432</v>
      </c>
      <c r="C26" s="1048"/>
      <c r="D26" s="1048"/>
      <c r="E26" s="1048"/>
      <c r="F26" s="1048"/>
      <c r="G26" s="1052">
        <f>IF(G25&lt;&gt;"",MAX(ROUNDUP(G25-13,0),ROUNDUP(J25-13,0),ROUNDUP(M25,0),ROUNDUP(P25+3,0),ROUNDUP(S25+4,0)),"")</f>
        <v>78</v>
      </c>
      <c r="H26" s="1053"/>
      <c r="I26" s="1053"/>
      <c r="J26" s="1053"/>
      <c r="K26" s="1053"/>
      <c r="L26" s="1053"/>
      <c r="M26" s="1053"/>
      <c r="N26" s="1053"/>
      <c r="O26" s="1053"/>
      <c r="P26" s="1053"/>
      <c r="Q26" s="1053"/>
      <c r="R26" s="1053"/>
      <c r="S26" s="1053"/>
      <c r="T26" s="1053"/>
      <c r="U26" s="1053"/>
      <c r="V26" s="248"/>
      <c r="W26" s="248"/>
      <c r="X26" s="248"/>
      <c r="Y26" s="248"/>
      <c r="Z26" s="248"/>
      <c r="AA26" s="248"/>
      <c r="AB26" s="248"/>
      <c r="AC26" s="248"/>
      <c r="AD26" s="248"/>
      <c r="AE26" s="248"/>
      <c r="AF26" s="248"/>
      <c r="AG26" s="248"/>
      <c r="AH26" s="248"/>
      <c r="AI26" s="248"/>
      <c r="AJ26" s="248"/>
      <c r="AK26" s="248"/>
      <c r="AL26" s="248"/>
      <c r="AM26" s="248"/>
      <c r="AN26" s="248"/>
      <c r="AO26" s="249"/>
    </row>
    <row r="27" spans="1:41" ht="18" customHeight="1" x14ac:dyDescent="0.2">
      <c r="A27" s="246"/>
      <c r="B27" s="282"/>
      <c r="C27" s="282"/>
      <c r="D27" s="282"/>
      <c r="E27" s="282"/>
      <c r="F27" s="282"/>
      <c r="G27" s="283"/>
      <c r="H27" s="284"/>
      <c r="I27" s="284"/>
      <c r="J27" s="284"/>
      <c r="K27" s="284"/>
      <c r="L27" s="284"/>
      <c r="M27" s="284"/>
      <c r="N27" s="284"/>
      <c r="O27" s="284"/>
      <c r="P27" s="284"/>
      <c r="Q27" s="284"/>
      <c r="R27" s="284"/>
      <c r="S27" s="284"/>
      <c r="T27" s="284"/>
      <c r="U27" s="284"/>
      <c r="V27" s="248"/>
      <c r="W27" s="248"/>
      <c r="X27" s="248"/>
      <c r="Y27" s="248"/>
      <c r="Z27" s="248"/>
      <c r="AA27" s="248"/>
      <c r="AB27" s="248"/>
      <c r="AC27" s="248"/>
      <c r="AD27" s="248"/>
      <c r="AE27" s="248"/>
      <c r="AF27" s="248"/>
      <c r="AG27" s="248"/>
      <c r="AH27" s="248"/>
      <c r="AI27" s="248"/>
      <c r="AJ27" s="248"/>
      <c r="AK27" s="248"/>
      <c r="AL27" s="248"/>
      <c r="AM27" s="248"/>
      <c r="AN27" s="248"/>
      <c r="AO27" s="249"/>
    </row>
    <row r="28" spans="1:41" ht="18" customHeight="1" x14ac:dyDescent="0.2">
      <c r="A28" s="246"/>
      <c r="B28" s="248"/>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9"/>
    </row>
    <row r="29" spans="1:41" ht="18" customHeight="1" x14ac:dyDescent="0.2">
      <c r="A29" s="246"/>
      <c r="B29" s="248"/>
      <c r="C29" s="248"/>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248"/>
      <c r="AM29" s="248"/>
      <c r="AN29" s="248"/>
      <c r="AO29" s="249"/>
    </row>
    <row r="30" spans="1:41" ht="18" customHeight="1" x14ac:dyDescent="0.2">
      <c r="A30" s="246"/>
      <c r="B30" s="248"/>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9"/>
    </row>
    <row r="31" spans="1:41" ht="18" customHeight="1" x14ac:dyDescent="0.2">
      <c r="A31" s="246"/>
      <c r="B31" s="248"/>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9"/>
    </row>
    <row r="32" spans="1:41" ht="18" customHeight="1" x14ac:dyDescent="0.2">
      <c r="A32" s="246"/>
      <c r="B32" s="248"/>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9"/>
    </row>
    <row r="33" spans="1:41" ht="18" customHeight="1" x14ac:dyDescent="0.2">
      <c r="A33" s="246"/>
      <c r="B33" s="248"/>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9"/>
    </row>
    <row r="34" spans="1:41" ht="18" customHeight="1" x14ac:dyDescent="0.2">
      <c r="A34" s="246"/>
      <c r="B34" s="248"/>
      <c r="C34" s="248"/>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9"/>
    </row>
    <row r="35" spans="1:41" ht="18" customHeight="1" x14ac:dyDescent="0.2">
      <c r="A35" s="246"/>
      <c r="B35" s="248"/>
      <c r="C35" s="248"/>
      <c r="D35" s="248"/>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9"/>
    </row>
    <row r="36" spans="1:41" ht="18" customHeight="1" x14ac:dyDescent="0.2">
      <c r="A36" s="246"/>
      <c r="B36" s="248"/>
      <c r="C36" s="248"/>
      <c r="D36" s="248"/>
      <c r="E36" s="248"/>
      <c r="F36" s="248"/>
      <c r="G36" s="248"/>
      <c r="H36" s="248"/>
      <c r="I36" s="248"/>
      <c r="J36" s="248"/>
      <c r="K36" s="248"/>
      <c r="L36" s="248"/>
      <c r="M36" s="248"/>
      <c r="N36" s="248"/>
      <c r="O36" s="248"/>
      <c r="P36" s="248"/>
      <c r="Q36" s="248"/>
      <c r="R36" s="248"/>
      <c r="S36" s="248"/>
      <c r="T36" s="248"/>
      <c r="U36" s="248"/>
      <c r="V36" s="248"/>
      <c r="W36" s="248"/>
      <c r="X36" s="268" t="s">
        <v>630</v>
      </c>
      <c r="Y36" s="248"/>
      <c r="Z36" s="248"/>
      <c r="AA36" s="248"/>
      <c r="AB36" s="248"/>
      <c r="AC36" s="248"/>
      <c r="AD36" s="248"/>
      <c r="AE36" s="248"/>
      <c r="AF36" s="248"/>
      <c r="AG36" s="248"/>
      <c r="AH36" s="248"/>
      <c r="AI36" s="248"/>
      <c r="AJ36" s="248"/>
      <c r="AK36" s="248"/>
      <c r="AL36" s="248"/>
      <c r="AM36" s="248"/>
      <c r="AN36" s="248"/>
      <c r="AO36" s="249"/>
    </row>
    <row r="37" spans="1:41" ht="18" customHeight="1" x14ac:dyDescent="0.2">
      <c r="A37" s="246"/>
      <c r="B37" s="248"/>
      <c r="C37" s="248"/>
      <c r="D37" s="248"/>
      <c r="E37" s="248"/>
      <c r="F37" s="248"/>
      <c r="G37" s="248"/>
      <c r="H37" s="248"/>
      <c r="I37" s="248"/>
      <c r="J37" s="248"/>
      <c r="K37" s="248"/>
      <c r="L37" s="248"/>
      <c r="M37" s="248"/>
      <c r="N37" s="248"/>
      <c r="O37" s="248"/>
      <c r="P37" s="248"/>
      <c r="Q37" s="248"/>
      <c r="R37" s="248"/>
      <c r="S37" s="248"/>
      <c r="T37" s="248"/>
      <c r="U37" s="248"/>
      <c r="V37" s="248"/>
      <c r="W37" s="248"/>
      <c r="X37" s="268" t="s">
        <v>607</v>
      </c>
      <c r="Y37" s="248"/>
      <c r="Z37" s="248"/>
      <c r="AA37" s="248"/>
      <c r="AB37" s="248"/>
      <c r="AC37" s="248"/>
      <c r="AD37" s="248"/>
      <c r="AE37" s="248"/>
      <c r="AF37" s="248"/>
      <c r="AG37" s="248"/>
      <c r="AH37" s="248"/>
      <c r="AI37" s="248"/>
      <c r="AJ37" s="248"/>
      <c r="AK37" s="248"/>
      <c r="AL37" s="248"/>
      <c r="AM37" s="248"/>
      <c r="AN37" s="248"/>
      <c r="AO37" s="249"/>
    </row>
    <row r="38" spans="1:41" s="232" customFormat="1" ht="18" customHeight="1" x14ac:dyDescent="0.2">
      <c r="A38" s="285"/>
      <c r="B38" s="286"/>
      <c r="C38" s="286"/>
      <c r="D38" s="286"/>
      <c r="E38" s="286"/>
      <c r="F38" s="286"/>
      <c r="G38" s="286"/>
      <c r="H38" s="286"/>
      <c r="I38" s="286"/>
      <c r="J38" s="286"/>
      <c r="K38" s="286"/>
      <c r="L38" s="286"/>
      <c r="M38" s="286"/>
      <c r="N38" s="286"/>
      <c r="O38" s="286"/>
      <c r="P38" s="286"/>
      <c r="Q38" s="286"/>
      <c r="R38" s="286"/>
      <c r="S38" s="286"/>
      <c r="T38" s="286"/>
      <c r="U38" s="286"/>
      <c r="V38" s="287"/>
      <c r="W38" s="287"/>
      <c r="X38" s="268" t="s">
        <v>437</v>
      </c>
      <c r="Y38" s="288"/>
      <c r="Z38" s="288"/>
      <c r="AA38" s="288"/>
      <c r="AB38" s="288"/>
      <c r="AC38" s="288"/>
      <c r="AD38" s="288"/>
      <c r="AE38" s="288"/>
      <c r="AF38" s="288"/>
      <c r="AG38" s="289"/>
      <c r="AH38" s="287"/>
      <c r="AI38" s="287"/>
      <c r="AJ38" s="287"/>
      <c r="AK38" s="287"/>
      <c r="AL38" s="287"/>
      <c r="AM38" s="287"/>
      <c r="AN38" s="287"/>
      <c r="AO38" s="290"/>
    </row>
    <row r="39" spans="1:41" s="232" customFormat="1" ht="18" customHeight="1" x14ac:dyDescent="0.2">
      <c r="A39" s="285"/>
      <c r="B39" s="287"/>
      <c r="C39" s="287"/>
      <c r="D39" s="287"/>
      <c r="E39" s="287"/>
      <c r="F39" s="287"/>
      <c r="G39" s="287"/>
      <c r="H39" s="287"/>
      <c r="I39" s="287"/>
      <c r="J39" s="287"/>
      <c r="K39" s="287"/>
      <c r="L39" s="287"/>
      <c r="M39" s="287"/>
      <c r="N39" s="287"/>
      <c r="O39" s="287"/>
      <c r="P39" s="287"/>
      <c r="Q39" s="287"/>
      <c r="R39" s="287"/>
      <c r="S39" s="287"/>
      <c r="T39" s="291"/>
      <c r="U39" s="291"/>
      <c r="V39" s="287"/>
      <c r="W39" s="287"/>
      <c r="X39" s="268" t="s">
        <v>436</v>
      </c>
      <c r="Y39" s="287"/>
      <c r="Z39" s="287"/>
      <c r="AA39" s="287"/>
      <c r="AB39" s="287"/>
      <c r="AC39" s="287"/>
      <c r="AD39" s="287"/>
      <c r="AE39" s="287"/>
      <c r="AF39" s="287"/>
      <c r="AG39" s="287"/>
      <c r="AH39" s="287"/>
      <c r="AI39" s="287"/>
      <c r="AJ39" s="287"/>
      <c r="AK39" s="287"/>
      <c r="AL39" s="287"/>
      <c r="AM39" s="287"/>
      <c r="AN39" s="287"/>
      <c r="AO39" s="290"/>
    </row>
    <row r="40" spans="1:41" s="145" customFormat="1" ht="18" customHeight="1" x14ac:dyDescent="0.2">
      <c r="A40" s="292"/>
      <c r="B40" s="293"/>
      <c r="C40" s="294"/>
      <c r="D40" s="294"/>
      <c r="E40" s="241"/>
      <c r="F40" s="241"/>
      <c r="G40" s="241"/>
      <c r="H40" s="241"/>
      <c r="I40" s="241"/>
      <c r="J40" s="241"/>
      <c r="K40" s="241"/>
      <c r="L40" s="241"/>
      <c r="M40" s="241"/>
      <c r="N40" s="240"/>
      <c r="O40" s="240"/>
      <c r="P40" s="240"/>
      <c r="Q40" s="240"/>
      <c r="R40" s="240"/>
      <c r="S40" s="240"/>
      <c r="T40" s="240"/>
      <c r="U40" s="240"/>
      <c r="V40" s="240"/>
      <c r="W40" s="287"/>
      <c r="X40" s="268" t="s">
        <v>435</v>
      </c>
      <c r="Y40" s="248"/>
      <c r="Z40" s="248"/>
      <c r="AA40" s="248"/>
      <c r="AB40" s="248"/>
      <c r="AC40" s="248"/>
      <c r="AD40" s="248"/>
      <c r="AE40" s="248"/>
      <c r="AF40" s="248"/>
      <c r="AG40" s="248"/>
      <c r="AH40" s="248"/>
      <c r="AI40" s="248"/>
      <c r="AJ40" s="248"/>
      <c r="AK40" s="248"/>
      <c r="AL40" s="248"/>
      <c r="AM40" s="248"/>
      <c r="AN40" s="248"/>
      <c r="AO40" s="295"/>
    </row>
    <row r="41" spans="1:41" s="145" customFormat="1" ht="18" customHeight="1" x14ac:dyDescent="0.2">
      <c r="A41" s="296"/>
      <c r="B41" s="293"/>
      <c r="C41" s="294"/>
      <c r="D41" s="294"/>
      <c r="E41" s="241"/>
      <c r="F41" s="241"/>
      <c r="G41" s="241"/>
      <c r="H41" s="241"/>
      <c r="I41" s="241"/>
      <c r="J41" s="241"/>
      <c r="K41" s="241"/>
      <c r="L41" s="241"/>
      <c r="M41" s="241"/>
      <c r="N41" s="240"/>
      <c r="O41" s="240"/>
      <c r="P41" s="240"/>
      <c r="Q41" s="240"/>
      <c r="R41" s="240"/>
      <c r="S41" s="240"/>
      <c r="T41" s="240"/>
      <c r="U41" s="240"/>
      <c r="V41" s="240"/>
      <c r="W41" s="287"/>
      <c r="X41" s="268" t="s">
        <v>467</v>
      </c>
      <c r="Y41" s="248"/>
      <c r="Z41" s="248"/>
      <c r="AA41" s="248"/>
      <c r="AB41" s="248"/>
      <c r="AC41" s="248"/>
      <c r="AD41" s="248"/>
      <c r="AE41" s="248"/>
      <c r="AF41" s="248"/>
      <c r="AG41" s="248"/>
      <c r="AH41" s="248"/>
      <c r="AI41" s="248"/>
      <c r="AJ41" s="248"/>
      <c r="AK41" s="248"/>
      <c r="AL41" s="248"/>
      <c r="AM41" s="248"/>
      <c r="AN41" s="248"/>
      <c r="AO41" s="295"/>
    </row>
    <row r="42" spans="1:41" s="145" customFormat="1" ht="18" customHeight="1" x14ac:dyDescent="0.2">
      <c r="A42" s="296"/>
      <c r="B42" s="293"/>
      <c r="C42" s="294"/>
      <c r="D42" s="294"/>
      <c r="E42" s="241"/>
      <c r="F42" s="241"/>
      <c r="G42" s="241"/>
      <c r="H42" s="241"/>
      <c r="I42" s="241"/>
      <c r="J42" s="241"/>
      <c r="K42" s="241"/>
      <c r="L42" s="241"/>
      <c r="M42" s="241"/>
      <c r="N42" s="240"/>
      <c r="O42" s="240"/>
      <c r="P42" s="240"/>
      <c r="Q42" s="240"/>
      <c r="R42" s="240"/>
      <c r="S42" s="240"/>
      <c r="T42" s="240"/>
      <c r="U42" s="240"/>
      <c r="V42" s="240"/>
      <c r="W42" s="287"/>
      <c r="X42" s="268" t="s">
        <v>631</v>
      </c>
      <c r="Y42" s="248"/>
      <c r="Z42" s="248"/>
      <c r="AA42" s="248"/>
      <c r="AB42" s="248"/>
      <c r="AC42" s="248"/>
      <c r="AD42" s="248"/>
      <c r="AE42" s="248"/>
      <c r="AF42" s="248"/>
      <c r="AG42" s="248"/>
      <c r="AH42" s="248"/>
      <c r="AI42" s="248"/>
      <c r="AJ42" s="248"/>
      <c r="AK42" s="248"/>
      <c r="AL42" s="248"/>
      <c r="AM42" s="248"/>
      <c r="AN42" s="248"/>
      <c r="AO42" s="295"/>
    </row>
    <row r="43" spans="1:41" s="145" customFormat="1" ht="18" customHeight="1" x14ac:dyDescent="0.2">
      <c r="A43" s="296"/>
      <c r="B43" s="240"/>
      <c r="C43" s="240"/>
      <c r="D43" s="240"/>
      <c r="E43" s="240"/>
      <c r="F43" s="240"/>
      <c r="G43" s="240"/>
      <c r="H43" s="240"/>
      <c r="I43" s="240"/>
      <c r="J43" s="240"/>
      <c r="K43" s="240"/>
      <c r="L43" s="240"/>
      <c r="M43" s="240"/>
      <c r="N43" s="240"/>
      <c r="O43" s="240"/>
      <c r="P43" s="240"/>
      <c r="Q43" s="240"/>
      <c r="R43" s="240"/>
      <c r="S43" s="240"/>
      <c r="T43" s="240"/>
      <c r="U43" s="240"/>
      <c r="V43" s="240"/>
      <c r="W43" s="287"/>
      <c r="X43" s="268" t="s">
        <v>608</v>
      </c>
      <c r="Y43" s="248"/>
      <c r="Z43" s="248"/>
      <c r="AA43" s="248"/>
      <c r="AB43" s="248"/>
      <c r="AC43" s="248"/>
      <c r="AD43" s="248"/>
      <c r="AE43" s="248"/>
      <c r="AF43" s="248"/>
      <c r="AG43" s="248"/>
      <c r="AH43" s="248"/>
      <c r="AI43" s="248"/>
      <c r="AJ43" s="248"/>
      <c r="AK43" s="248"/>
      <c r="AL43" s="248"/>
      <c r="AM43" s="248"/>
      <c r="AN43" s="248"/>
      <c r="AO43" s="295"/>
    </row>
    <row r="44" spans="1:41" s="145" customFormat="1" ht="19.5" customHeight="1" x14ac:dyDescent="0.2">
      <c r="A44" s="296"/>
      <c r="B44" s="297"/>
      <c r="C44" s="298"/>
      <c r="D44" s="240"/>
      <c r="E44" s="240"/>
      <c r="F44" s="240"/>
      <c r="G44" s="240"/>
      <c r="H44" s="240"/>
      <c r="I44" s="240"/>
      <c r="J44" s="240"/>
      <c r="K44" s="240"/>
      <c r="L44" s="240"/>
      <c r="M44" s="240"/>
      <c r="N44" s="240"/>
      <c r="O44" s="240"/>
      <c r="P44" s="297"/>
      <c r="Q44" s="298"/>
      <c r="R44" s="299"/>
      <c r="S44" s="240"/>
      <c r="T44" s="240"/>
      <c r="U44" s="240"/>
      <c r="V44" s="240"/>
      <c r="W44" s="287"/>
      <c r="X44" s="268" t="s">
        <v>609</v>
      </c>
      <c r="Y44" s="248"/>
      <c r="Z44" s="248"/>
      <c r="AA44" s="248"/>
      <c r="AB44" s="248"/>
      <c r="AC44" s="248"/>
      <c r="AD44" s="248"/>
      <c r="AE44" s="248"/>
      <c r="AF44" s="248"/>
      <c r="AG44" s="248"/>
      <c r="AH44" s="248"/>
      <c r="AI44" s="248"/>
      <c r="AJ44" s="248"/>
      <c r="AK44" s="248"/>
      <c r="AL44" s="248"/>
      <c r="AM44" s="248"/>
      <c r="AN44" s="248"/>
      <c r="AO44" s="295"/>
    </row>
    <row r="45" spans="1:41" s="145" customFormat="1" ht="18" customHeight="1" x14ac:dyDescent="0.15">
      <c r="A45" s="296"/>
      <c r="B45" s="297"/>
      <c r="C45" s="298"/>
      <c r="D45" s="300"/>
      <c r="E45" s="294"/>
      <c r="F45" s="294"/>
      <c r="G45" s="294"/>
      <c r="H45" s="294"/>
      <c r="I45" s="294"/>
      <c r="J45" s="294"/>
      <c r="K45" s="294"/>
      <c r="L45" s="294"/>
      <c r="M45" s="294"/>
      <c r="N45" s="240"/>
      <c r="O45" s="240"/>
      <c r="P45" s="297"/>
      <c r="Q45" s="298"/>
      <c r="R45" s="299"/>
      <c r="S45" s="240"/>
      <c r="T45" s="240"/>
      <c r="U45" s="240"/>
      <c r="V45" s="240"/>
      <c r="W45" s="287"/>
      <c r="X45" s="270"/>
      <c r="Y45" s="248"/>
      <c r="Z45" s="248"/>
      <c r="AA45" s="248"/>
      <c r="AB45" s="248"/>
      <c r="AC45" s="248"/>
      <c r="AD45" s="248"/>
      <c r="AE45" s="248"/>
      <c r="AF45" s="248"/>
      <c r="AG45" s="248"/>
      <c r="AH45" s="248"/>
      <c r="AI45" s="248"/>
      <c r="AJ45" s="1030" t="str">
        <f>INPUT!AD55</f>
        <v>音・熱環境研究会 ver3.3</v>
      </c>
      <c r="AK45" s="1030"/>
      <c r="AL45" s="1030"/>
      <c r="AM45" s="1030"/>
      <c r="AN45" s="1030"/>
      <c r="AO45" s="295"/>
    </row>
    <row r="46" spans="1:41" s="145" customFormat="1" ht="6.75" customHeight="1" thickBot="1" x14ac:dyDescent="0.25">
      <c r="A46" s="301"/>
      <c r="B46" s="302"/>
      <c r="C46" s="303"/>
      <c r="D46" s="304"/>
      <c r="E46" s="305"/>
      <c r="F46" s="305"/>
      <c r="G46" s="305"/>
      <c r="H46" s="305"/>
      <c r="I46" s="305"/>
      <c r="J46" s="305"/>
      <c r="K46" s="305"/>
      <c r="L46" s="305"/>
      <c r="M46" s="305"/>
      <c r="N46" s="305"/>
      <c r="O46" s="305"/>
      <c r="P46" s="302"/>
      <c r="Q46" s="303"/>
      <c r="R46" s="306"/>
      <c r="S46" s="305"/>
      <c r="T46" s="305"/>
      <c r="U46" s="305"/>
      <c r="V46" s="305"/>
      <c r="W46" s="307"/>
      <c r="X46" s="274"/>
      <c r="Y46" s="274"/>
      <c r="Z46" s="274"/>
      <c r="AA46" s="274"/>
      <c r="AB46" s="274"/>
      <c r="AC46" s="274"/>
      <c r="AD46" s="274"/>
      <c r="AE46" s="274"/>
      <c r="AF46" s="274"/>
      <c r="AG46" s="274"/>
      <c r="AH46" s="274"/>
      <c r="AI46" s="274"/>
      <c r="AJ46" s="274"/>
      <c r="AK46" s="274"/>
      <c r="AL46" s="274"/>
      <c r="AM46" s="274"/>
      <c r="AN46" s="274"/>
      <c r="AO46" s="308"/>
    </row>
    <row r="47" spans="1:41" s="145" customFormat="1" ht="16.899999999999999" customHeight="1" x14ac:dyDescent="0.2">
      <c r="B47" s="235"/>
      <c r="C47" s="235"/>
      <c r="D47" s="233"/>
      <c r="E47" s="236"/>
      <c r="F47" s="236"/>
      <c r="G47" s="236"/>
      <c r="H47" s="236"/>
      <c r="I47" s="236"/>
      <c r="J47" s="236"/>
      <c r="K47" s="236"/>
      <c r="L47" s="236"/>
      <c r="M47" s="236"/>
      <c r="N47" s="138"/>
      <c r="P47" s="233"/>
      <c r="Q47" s="138"/>
      <c r="R47" s="138"/>
      <c r="S47" s="138"/>
      <c r="T47" s="138"/>
      <c r="U47" s="138"/>
      <c r="W47" s="232"/>
      <c r="AG47" s="232"/>
    </row>
    <row r="48" spans="1:41" s="145" customFormat="1" ht="16.899999999999999" customHeight="1" x14ac:dyDescent="0.2">
      <c r="B48" s="234"/>
      <c r="C48" s="235"/>
      <c r="D48" s="237"/>
      <c r="N48" s="138"/>
      <c r="P48" s="138"/>
      <c r="Q48" s="138"/>
      <c r="R48" s="138"/>
      <c r="S48" s="138"/>
      <c r="T48" s="138"/>
      <c r="U48" s="138"/>
      <c r="W48" s="232"/>
      <c r="AG48" s="232"/>
    </row>
    <row r="49" spans="1:34" s="145" customFormat="1" ht="16.899999999999999" customHeight="1" x14ac:dyDescent="0.2">
      <c r="B49" s="235"/>
      <c r="C49" s="235"/>
      <c r="D49" s="237"/>
      <c r="P49" s="238"/>
      <c r="Q49" s="238"/>
      <c r="R49" s="238"/>
      <c r="S49" s="238"/>
      <c r="T49" s="238"/>
      <c r="U49" s="238"/>
      <c r="W49" s="232"/>
      <c r="AG49" s="232"/>
    </row>
    <row r="50" spans="1:34" s="145" customFormat="1" ht="16.899999999999999" customHeight="1" x14ac:dyDescent="0.2">
      <c r="B50" s="235"/>
      <c r="C50" s="235"/>
      <c r="N50" s="138"/>
      <c r="O50" s="138"/>
      <c r="P50" s="235"/>
      <c r="Q50" s="235"/>
      <c r="W50" s="232"/>
      <c r="AG50" s="232"/>
    </row>
    <row r="51" spans="1:34" s="145" customFormat="1" ht="16.899999999999999" customHeight="1" x14ac:dyDescent="0.2">
      <c r="W51" s="232"/>
      <c r="AG51" s="232"/>
    </row>
    <row r="52" spans="1:34" s="144" customFormat="1" ht="16.899999999999999" customHeight="1" x14ac:dyDescent="0.2">
      <c r="A52" s="145"/>
      <c r="T52" s="141"/>
      <c r="U52" s="141"/>
      <c r="W52" s="232"/>
      <c r="X52" s="145"/>
      <c r="Y52" s="145"/>
      <c r="Z52" s="145"/>
      <c r="AA52" s="145"/>
      <c r="AB52" s="145"/>
      <c r="AC52" s="145"/>
      <c r="AD52" s="145"/>
      <c r="AE52" s="145"/>
      <c r="AF52" s="145"/>
      <c r="AG52" s="232"/>
    </row>
    <row r="53" spans="1:34" s="142" customFormat="1" ht="16.899999999999999" customHeight="1" x14ac:dyDescent="0.2">
      <c r="A53" s="143"/>
      <c r="B53" s="239"/>
      <c r="C53" s="239"/>
      <c r="D53" s="239"/>
      <c r="E53" s="239"/>
      <c r="F53" s="239"/>
      <c r="G53" s="239"/>
      <c r="H53" s="239"/>
      <c r="I53" s="239"/>
      <c r="J53" s="239"/>
      <c r="K53" s="239"/>
      <c r="L53" s="239"/>
      <c r="M53" s="239"/>
      <c r="N53" s="239"/>
      <c r="O53" s="239"/>
      <c r="P53" s="239"/>
      <c r="Q53" s="239"/>
      <c r="R53" s="239"/>
      <c r="S53" s="239"/>
      <c r="T53" s="144"/>
      <c r="U53" s="144"/>
      <c r="V53" s="239"/>
      <c r="W53" s="8"/>
      <c r="X53" s="137"/>
      <c r="Y53" s="137"/>
      <c r="Z53" s="137"/>
      <c r="AA53" s="137"/>
      <c r="AB53" s="137"/>
      <c r="AC53" s="137"/>
      <c r="AD53" s="137"/>
      <c r="AE53" s="137"/>
      <c r="AF53" s="137"/>
      <c r="AG53" s="8"/>
      <c r="AH53" s="239"/>
    </row>
    <row r="54" spans="1:34" s="139" customFormat="1" ht="16.899999999999999" customHeight="1" x14ac:dyDescent="0.2">
      <c r="A54" s="143"/>
      <c r="B54" s="137"/>
      <c r="C54" s="137"/>
      <c r="D54" s="137"/>
      <c r="E54" s="137"/>
      <c r="F54" s="137"/>
      <c r="G54" s="137"/>
      <c r="H54" s="137"/>
      <c r="I54" s="137"/>
      <c r="J54" s="137"/>
      <c r="K54" s="137"/>
      <c r="L54" s="137"/>
      <c r="M54" s="137"/>
      <c r="N54" s="137"/>
      <c r="O54" s="137"/>
      <c r="P54" s="137"/>
      <c r="Q54" s="137"/>
      <c r="R54" s="137"/>
      <c r="S54" s="137"/>
      <c r="T54" s="145"/>
      <c r="U54" s="145"/>
      <c r="V54" s="137"/>
      <c r="W54" s="8"/>
      <c r="X54" s="137"/>
      <c r="Y54" s="137"/>
      <c r="Z54" s="137"/>
      <c r="AA54" s="137"/>
      <c r="AB54" s="137"/>
      <c r="AC54" s="137"/>
      <c r="AD54" s="137"/>
      <c r="AE54" s="137"/>
      <c r="AF54" s="137"/>
      <c r="AG54" s="8"/>
      <c r="AH54" s="137"/>
    </row>
    <row r="55" spans="1:34" s="139" customFormat="1" ht="16.899999999999999" customHeight="1" x14ac:dyDescent="0.2">
      <c r="A55" s="140"/>
      <c r="B55" s="137"/>
      <c r="C55" s="137"/>
      <c r="D55" s="137"/>
      <c r="E55" s="137"/>
      <c r="F55" s="137"/>
      <c r="G55" s="137"/>
      <c r="H55" s="137"/>
      <c r="I55" s="137"/>
      <c r="J55" s="137"/>
      <c r="K55" s="137"/>
      <c r="L55" s="137"/>
      <c r="M55" s="137"/>
      <c r="N55" s="137"/>
      <c r="O55" s="137"/>
      <c r="P55" s="137"/>
      <c r="Q55" s="137"/>
      <c r="R55" s="137"/>
      <c r="S55" s="137"/>
      <c r="T55" s="145"/>
      <c r="U55" s="145"/>
      <c r="V55" s="137"/>
      <c r="W55" s="8"/>
      <c r="X55" s="137"/>
      <c r="Y55" s="137"/>
      <c r="Z55" s="137"/>
      <c r="AA55" s="137"/>
      <c r="AB55" s="137"/>
      <c r="AC55" s="137"/>
      <c r="AD55" s="137"/>
      <c r="AE55" s="137"/>
      <c r="AF55" s="137"/>
      <c r="AG55" s="8"/>
      <c r="AH55" s="137"/>
    </row>
    <row r="56" spans="1:34" s="139" customFormat="1" ht="16.899999999999999" customHeight="1" x14ac:dyDescent="0.2">
      <c r="A56" s="137"/>
      <c r="B56" s="137"/>
      <c r="C56" s="137"/>
      <c r="D56" s="137"/>
      <c r="E56" s="137"/>
      <c r="F56" s="137"/>
      <c r="G56" s="137"/>
      <c r="H56" s="137"/>
      <c r="I56" s="137"/>
      <c r="J56" s="137"/>
      <c r="K56" s="137"/>
      <c r="L56" s="137"/>
      <c r="M56" s="137"/>
      <c r="N56" s="137"/>
      <c r="O56" s="137"/>
      <c r="P56" s="137"/>
      <c r="Q56" s="137"/>
      <c r="R56" s="137"/>
      <c r="S56" s="137"/>
      <c r="T56" s="145"/>
      <c r="U56" s="145"/>
      <c r="V56" s="137"/>
      <c r="W56" s="8"/>
      <c r="X56" s="137"/>
      <c r="Y56" s="137"/>
      <c r="Z56" s="137"/>
      <c r="AA56" s="137"/>
      <c r="AB56" s="137"/>
      <c r="AC56" s="137"/>
      <c r="AD56" s="137"/>
      <c r="AE56" s="137"/>
      <c r="AF56" s="137"/>
      <c r="AG56" s="8"/>
      <c r="AH56" s="137"/>
    </row>
    <row r="57" spans="1:34" s="139" customFormat="1" ht="16.899999999999999" customHeight="1" x14ac:dyDescent="0.2">
      <c r="A57" s="137"/>
      <c r="B57" s="137"/>
      <c r="C57" s="137"/>
      <c r="D57" s="137"/>
      <c r="E57" s="137"/>
      <c r="F57" s="137"/>
      <c r="G57" s="137"/>
      <c r="H57" s="137"/>
      <c r="I57" s="137"/>
      <c r="J57" s="137"/>
      <c r="K57" s="137"/>
      <c r="L57" s="137"/>
      <c r="M57" s="137"/>
      <c r="N57" s="137"/>
      <c r="O57" s="137"/>
      <c r="P57" s="137"/>
      <c r="Q57" s="137"/>
      <c r="R57" s="137"/>
      <c r="S57" s="137"/>
      <c r="T57" s="145"/>
      <c r="U57" s="145"/>
      <c r="V57" s="137"/>
      <c r="W57" s="8"/>
      <c r="X57" s="137"/>
      <c r="Y57" s="137"/>
      <c r="Z57" s="137"/>
      <c r="AA57" s="137"/>
      <c r="AB57" s="137"/>
      <c r="AC57" s="137"/>
      <c r="AD57" s="137"/>
      <c r="AE57" s="137"/>
      <c r="AF57" s="137"/>
      <c r="AG57" s="8"/>
      <c r="AH57" s="137"/>
    </row>
    <row r="58" spans="1:34" s="139" customFormat="1" ht="16.899999999999999" customHeight="1" x14ac:dyDescent="0.2">
      <c r="A58" s="137"/>
      <c r="B58" s="137"/>
      <c r="C58" s="137"/>
      <c r="D58" s="137"/>
      <c r="E58" s="137"/>
      <c r="F58" s="137"/>
      <c r="G58" s="137"/>
      <c r="H58" s="137"/>
      <c r="I58" s="137"/>
      <c r="J58" s="137"/>
      <c r="K58" s="137"/>
      <c r="L58" s="137"/>
      <c r="M58" s="137"/>
      <c r="N58" s="137"/>
      <c r="O58" s="137"/>
      <c r="P58" s="137"/>
      <c r="Q58" s="137"/>
      <c r="R58" s="137"/>
      <c r="S58" s="137"/>
      <c r="T58" s="145"/>
      <c r="U58" s="145"/>
      <c r="V58" s="137"/>
      <c r="W58" s="8"/>
      <c r="X58" s="137"/>
      <c r="Y58" s="137"/>
      <c r="Z58" s="137"/>
      <c r="AA58" s="137"/>
      <c r="AB58" s="137"/>
      <c r="AC58" s="137"/>
      <c r="AD58" s="137"/>
      <c r="AE58" s="137"/>
      <c r="AF58" s="137"/>
      <c r="AG58" s="8"/>
      <c r="AH58" s="137"/>
    </row>
    <row r="59" spans="1:34" s="139" customFormat="1" ht="16.899999999999999" customHeight="1" x14ac:dyDescent="0.2">
      <c r="A59" s="137"/>
      <c r="B59" s="137"/>
      <c r="C59" s="137"/>
      <c r="D59" s="137"/>
      <c r="E59" s="137"/>
      <c r="F59" s="137"/>
      <c r="G59" s="137"/>
      <c r="H59" s="137"/>
      <c r="I59" s="137"/>
      <c r="J59" s="137"/>
      <c r="K59" s="137"/>
      <c r="L59" s="137"/>
      <c r="M59" s="137"/>
      <c r="N59" s="137"/>
      <c r="O59" s="137"/>
      <c r="P59" s="137"/>
      <c r="Q59" s="137"/>
      <c r="R59" s="137"/>
      <c r="S59" s="137"/>
      <c r="T59" s="145"/>
      <c r="U59" s="145"/>
      <c r="V59" s="137"/>
      <c r="W59" s="8"/>
      <c r="X59" s="137"/>
      <c r="Y59" s="137"/>
      <c r="Z59" s="137"/>
      <c r="AA59" s="137"/>
      <c r="AB59" s="137"/>
      <c r="AC59" s="137"/>
      <c r="AD59" s="137"/>
      <c r="AE59" s="137"/>
      <c r="AF59" s="137"/>
      <c r="AG59" s="8"/>
      <c r="AH59" s="137"/>
    </row>
    <row r="60" spans="1:34" s="139" customFormat="1" ht="16.899999999999999" customHeight="1" x14ac:dyDescent="0.2">
      <c r="A60" s="137"/>
      <c r="B60" s="137"/>
      <c r="C60" s="137"/>
      <c r="D60" s="137"/>
      <c r="E60" s="137"/>
      <c r="F60" s="137"/>
      <c r="G60" s="137"/>
      <c r="H60" s="137"/>
      <c r="I60" s="137"/>
      <c r="J60" s="137"/>
      <c r="K60" s="137"/>
      <c r="L60" s="137"/>
      <c r="M60" s="137"/>
      <c r="N60" s="137"/>
      <c r="O60" s="137"/>
      <c r="P60" s="137"/>
      <c r="Q60" s="137"/>
      <c r="R60" s="137"/>
      <c r="S60" s="137"/>
      <c r="T60" s="145"/>
      <c r="U60" s="145"/>
      <c r="V60" s="137"/>
      <c r="W60" s="8"/>
      <c r="X60" s="137"/>
      <c r="Y60" s="137"/>
      <c r="Z60" s="137"/>
      <c r="AA60" s="137"/>
      <c r="AB60" s="137"/>
      <c r="AC60" s="137"/>
      <c r="AD60" s="137"/>
      <c r="AE60" s="137"/>
      <c r="AF60" s="137"/>
      <c r="AG60" s="8"/>
      <c r="AH60" s="137"/>
    </row>
    <row r="61" spans="1:34" s="139" customFormat="1" ht="16.899999999999999" customHeight="1" x14ac:dyDescent="0.2">
      <c r="A61" s="137"/>
      <c r="B61" s="137"/>
      <c r="C61" s="137"/>
      <c r="D61" s="137"/>
      <c r="E61" s="137"/>
      <c r="F61" s="137"/>
      <c r="G61" s="137"/>
      <c r="H61" s="137"/>
      <c r="I61" s="137"/>
      <c r="J61" s="137"/>
      <c r="K61" s="137"/>
      <c r="L61" s="137"/>
      <c r="M61" s="137"/>
      <c r="N61" s="137"/>
      <c r="O61" s="137"/>
      <c r="P61" s="137"/>
      <c r="Q61" s="137"/>
      <c r="R61" s="137"/>
      <c r="S61" s="137"/>
      <c r="T61" s="145"/>
      <c r="U61" s="145"/>
      <c r="V61" s="137"/>
      <c r="W61" s="8"/>
      <c r="X61" s="137"/>
      <c r="Y61" s="137"/>
      <c r="Z61" s="137"/>
      <c r="AA61" s="137"/>
      <c r="AB61" s="137"/>
      <c r="AC61" s="137"/>
      <c r="AD61" s="137"/>
      <c r="AE61" s="137"/>
      <c r="AF61" s="137"/>
      <c r="AG61" s="8"/>
      <c r="AH61" s="137"/>
    </row>
    <row r="62" spans="1:34" s="139" customFormat="1" ht="16.899999999999999" customHeight="1" x14ac:dyDescent="0.2">
      <c r="A62" s="137"/>
      <c r="B62" s="137"/>
      <c r="C62" s="137"/>
      <c r="D62" s="137"/>
      <c r="E62" s="137"/>
      <c r="F62" s="137"/>
      <c r="G62" s="137"/>
      <c r="H62" s="137"/>
      <c r="I62" s="137"/>
      <c r="J62" s="137"/>
      <c r="K62" s="137"/>
      <c r="L62" s="137"/>
      <c r="M62" s="137"/>
      <c r="N62" s="137"/>
      <c r="O62" s="137"/>
      <c r="P62" s="137"/>
      <c r="Q62" s="137"/>
      <c r="R62" s="137"/>
      <c r="S62" s="137"/>
      <c r="T62" s="145"/>
      <c r="U62" s="145"/>
      <c r="V62" s="137"/>
      <c r="W62" s="8"/>
      <c r="X62" s="137"/>
      <c r="Y62" s="137"/>
      <c r="Z62" s="137"/>
      <c r="AA62" s="137"/>
      <c r="AB62" s="137"/>
      <c r="AC62" s="137"/>
      <c r="AD62" s="137"/>
      <c r="AE62" s="137"/>
      <c r="AF62" s="137"/>
      <c r="AG62" s="8"/>
      <c r="AH62" s="137"/>
    </row>
    <row r="63" spans="1:34" s="139" customFormat="1" ht="16.899999999999999" customHeight="1" x14ac:dyDescent="0.2">
      <c r="A63" s="137"/>
      <c r="B63" s="137"/>
      <c r="C63" s="137"/>
      <c r="D63" s="137"/>
      <c r="E63" s="137"/>
      <c r="F63" s="137"/>
      <c r="G63" s="137"/>
      <c r="H63" s="137"/>
      <c r="I63" s="137"/>
      <c r="J63" s="137"/>
      <c r="K63" s="137"/>
      <c r="L63" s="137"/>
      <c r="M63" s="137"/>
      <c r="N63" s="137"/>
      <c r="O63" s="137"/>
      <c r="P63" s="137"/>
      <c r="Q63" s="137"/>
      <c r="R63" s="137"/>
      <c r="S63" s="137"/>
      <c r="T63" s="145"/>
      <c r="U63" s="145"/>
      <c r="V63" s="137"/>
      <c r="W63" s="8"/>
      <c r="X63" s="137"/>
      <c r="Y63" s="137"/>
      <c r="Z63" s="137"/>
      <c r="AA63" s="137"/>
      <c r="AB63" s="137"/>
      <c r="AC63" s="137"/>
      <c r="AD63" s="137"/>
      <c r="AE63" s="137"/>
      <c r="AF63" s="137"/>
      <c r="AG63" s="8"/>
      <c r="AH63" s="137"/>
    </row>
    <row r="64" spans="1:34" ht="16.899999999999999" customHeight="1" x14ac:dyDescent="0.2">
      <c r="A64" s="8"/>
      <c r="B64" s="9"/>
      <c r="C64" s="8"/>
      <c r="D64" s="8"/>
      <c r="E64" s="8"/>
      <c r="F64" s="8"/>
      <c r="G64" s="8"/>
      <c r="H64" s="8"/>
      <c r="I64" s="8"/>
      <c r="J64" s="8"/>
      <c r="K64" s="8"/>
      <c r="L64" s="8"/>
      <c r="M64" s="8"/>
      <c r="N64" s="8"/>
      <c r="O64" s="8"/>
      <c r="P64" s="8"/>
      <c r="Q64" s="8"/>
      <c r="R64" s="8"/>
      <c r="S64" s="8"/>
      <c r="T64" s="8"/>
      <c r="U64" s="8"/>
      <c r="V64" s="8"/>
      <c r="W64" s="8"/>
      <c r="X64" s="137"/>
      <c r="Y64" s="137"/>
      <c r="Z64" s="137"/>
      <c r="AA64" s="137"/>
      <c r="AB64" s="137"/>
      <c r="AC64" s="137"/>
      <c r="AD64" s="137"/>
      <c r="AE64" s="137"/>
      <c r="AF64" s="137"/>
      <c r="AG64" s="8"/>
      <c r="AH64" s="8"/>
    </row>
    <row r="65" spans="1:34" ht="7.9" customHeight="1" x14ac:dyDescent="0.2">
      <c r="A65" s="8"/>
      <c r="B65" s="8"/>
      <c r="C65" s="8"/>
      <c r="D65" s="8"/>
      <c r="E65" s="8"/>
      <c r="F65" s="8"/>
      <c r="G65" s="8"/>
      <c r="H65" s="8"/>
      <c r="I65" s="8"/>
      <c r="J65" s="8"/>
      <c r="K65" s="8"/>
      <c r="L65" s="8"/>
      <c r="M65" s="8"/>
      <c r="N65" s="8"/>
      <c r="O65" s="8"/>
      <c r="P65" s="8"/>
      <c r="Q65" s="8"/>
      <c r="R65" s="8"/>
      <c r="S65" s="8"/>
      <c r="T65" s="8"/>
      <c r="U65" s="8"/>
      <c r="V65" s="8"/>
      <c r="W65" s="8"/>
      <c r="X65" s="137"/>
      <c r="Y65" s="137"/>
      <c r="Z65" s="137"/>
      <c r="AA65" s="137"/>
      <c r="AB65" s="137"/>
      <c r="AC65" s="137"/>
      <c r="AD65" s="137"/>
      <c r="AE65" s="137"/>
      <c r="AF65" s="137"/>
      <c r="AG65" s="8"/>
      <c r="AH65" s="8"/>
    </row>
    <row r="66" spans="1:34" ht="12.75" x14ac:dyDescent="0.2">
      <c r="A66" s="8"/>
      <c r="B66" s="6"/>
      <c r="C66" s="8"/>
      <c r="D66" s="8"/>
      <c r="E66" s="8"/>
      <c r="F66" s="8"/>
      <c r="G66" s="8"/>
      <c r="H66" s="8"/>
      <c r="I66" s="8"/>
      <c r="J66" s="8"/>
      <c r="K66" s="8"/>
      <c r="L66" s="8"/>
      <c r="M66" s="8"/>
      <c r="N66" s="8"/>
      <c r="O66" s="8"/>
      <c r="P66" s="8"/>
      <c r="Q66" s="8"/>
      <c r="R66" s="8"/>
      <c r="S66" s="8"/>
      <c r="T66" s="8"/>
      <c r="U66" s="8"/>
      <c r="V66" s="8"/>
      <c r="W66" s="8"/>
      <c r="X66" s="137"/>
      <c r="Y66" s="137"/>
      <c r="Z66" s="137"/>
      <c r="AA66" s="137"/>
      <c r="AB66" s="137"/>
      <c r="AC66" s="137"/>
      <c r="AD66" s="137"/>
      <c r="AE66" s="137"/>
      <c r="AF66" s="137"/>
      <c r="AG66" s="8"/>
      <c r="AH66" s="8"/>
    </row>
    <row r="67" spans="1:34" ht="12.75" x14ac:dyDescent="0.2">
      <c r="A67" s="8"/>
      <c r="B67" s="6"/>
      <c r="C67" s="8"/>
      <c r="D67" s="8"/>
      <c r="E67" s="8"/>
      <c r="F67" s="8"/>
      <c r="G67" s="8"/>
      <c r="H67" s="8"/>
      <c r="I67" s="8"/>
      <c r="J67" s="8"/>
      <c r="K67" s="8"/>
      <c r="L67" s="8"/>
      <c r="M67" s="8"/>
      <c r="N67" s="8"/>
      <c r="O67" s="8"/>
      <c r="P67" s="8"/>
      <c r="Q67" s="8"/>
      <c r="R67" s="8"/>
      <c r="S67" s="8"/>
      <c r="T67" s="8"/>
      <c r="U67" s="8"/>
      <c r="V67" s="8"/>
      <c r="W67" s="8"/>
      <c r="X67" s="137"/>
      <c r="Y67" s="137"/>
      <c r="Z67" s="137"/>
      <c r="AA67" s="137"/>
      <c r="AB67" s="137"/>
      <c r="AC67" s="137"/>
      <c r="AD67" s="137"/>
      <c r="AE67" s="137"/>
      <c r="AF67" s="137"/>
      <c r="AG67" s="8"/>
      <c r="AH67" s="8"/>
    </row>
    <row r="68" spans="1:34" ht="12.75" x14ac:dyDescent="0.2">
      <c r="A68" s="8"/>
      <c r="B68" s="6"/>
      <c r="C68" s="8"/>
      <c r="D68" s="8"/>
      <c r="E68" s="8"/>
      <c r="F68" s="8"/>
      <c r="G68" s="8"/>
      <c r="H68" s="8"/>
      <c r="I68" s="8"/>
      <c r="J68" s="8"/>
      <c r="K68" s="8"/>
      <c r="L68" s="8"/>
      <c r="M68" s="8"/>
      <c r="N68" s="8"/>
      <c r="O68" s="8"/>
      <c r="P68" s="8"/>
      <c r="Q68" s="8"/>
      <c r="R68" s="8"/>
      <c r="S68" s="8"/>
      <c r="T68" s="8"/>
      <c r="U68" s="8"/>
      <c r="V68" s="8"/>
      <c r="W68" s="8"/>
      <c r="X68" s="137"/>
      <c r="Y68" s="137"/>
      <c r="Z68" s="137"/>
      <c r="AA68" s="137"/>
      <c r="AB68" s="137"/>
      <c r="AC68" s="137"/>
      <c r="AD68" s="137"/>
      <c r="AE68" s="137"/>
      <c r="AF68" s="137"/>
      <c r="AG68" s="8"/>
      <c r="AH68" s="8"/>
    </row>
    <row r="69" spans="1:34" ht="12.75" x14ac:dyDescent="0.2">
      <c r="A69" s="8"/>
      <c r="B69" s="8"/>
      <c r="C69" s="8"/>
      <c r="D69" s="8"/>
      <c r="E69" s="8"/>
      <c r="F69" s="8"/>
      <c r="G69" s="8"/>
      <c r="H69" s="8"/>
      <c r="I69" s="8"/>
      <c r="J69" s="8"/>
      <c r="K69" s="8"/>
      <c r="L69" s="8"/>
      <c r="M69" s="8"/>
      <c r="N69" s="8"/>
      <c r="O69" s="8"/>
      <c r="P69" s="8"/>
      <c r="Q69" s="8"/>
      <c r="R69" s="8"/>
      <c r="S69" s="8"/>
      <c r="T69" s="8"/>
      <c r="U69" s="8"/>
      <c r="V69" s="8"/>
      <c r="W69" s="8"/>
      <c r="X69" s="137"/>
      <c r="Y69" s="137"/>
      <c r="Z69" s="137"/>
      <c r="AA69" s="137"/>
      <c r="AB69" s="137"/>
      <c r="AC69" s="137"/>
      <c r="AD69" s="137"/>
      <c r="AE69" s="137"/>
      <c r="AF69" s="137"/>
      <c r="AG69" s="8"/>
      <c r="AH69" s="8"/>
    </row>
    <row r="70" spans="1:34" ht="12.75" x14ac:dyDescent="0.2">
      <c r="A70" s="8"/>
      <c r="B70" s="9"/>
      <c r="C70" s="8"/>
      <c r="D70" s="8"/>
      <c r="E70" s="8"/>
      <c r="F70" s="8"/>
      <c r="G70" s="8"/>
      <c r="H70" s="8"/>
      <c r="I70" s="8"/>
      <c r="J70" s="8"/>
      <c r="K70" s="8"/>
      <c r="L70" s="8"/>
      <c r="M70" s="8"/>
      <c r="N70" s="8"/>
      <c r="O70" s="8"/>
      <c r="P70" s="8"/>
      <c r="Q70" s="8"/>
      <c r="R70" s="8"/>
      <c r="S70" s="8"/>
      <c r="T70" s="8"/>
      <c r="U70" s="8"/>
      <c r="V70" s="8"/>
      <c r="W70" s="8"/>
      <c r="X70" s="137"/>
      <c r="Y70" s="137"/>
      <c r="Z70" s="137"/>
      <c r="AA70" s="137"/>
      <c r="AB70" s="137"/>
      <c r="AC70" s="137"/>
      <c r="AD70" s="137"/>
      <c r="AE70" s="137"/>
      <c r="AF70" s="137"/>
      <c r="AG70" s="8"/>
      <c r="AH70" s="8"/>
    </row>
    <row r="71" spans="1:34" ht="12.75" x14ac:dyDescent="0.2">
      <c r="A71" s="8"/>
      <c r="B71" s="9"/>
      <c r="C71" s="8"/>
      <c r="D71" s="8"/>
      <c r="E71" s="8"/>
      <c r="F71" s="8"/>
      <c r="G71" s="8"/>
      <c r="H71" s="8"/>
      <c r="I71" s="8"/>
      <c r="J71" s="8"/>
      <c r="K71" s="8"/>
      <c r="L71" s="8"/>
      <c r="M71" s="8"/>
      <c r="N71" s="8"/>
      <c r="O71" s="8"/>
      <c r="P71" s="8"/>
      <c r="Q71" s="8"/>
      <c r="R71" s="8"/>
      <c r="S71" s="8"/>
      <c r="T71" s="8"/>
      <c r="U71" s="8"/>
      <c r="V71" s="8"/>
      <c r="W71" s="8"/>
      <c r="X71" s="137"/>
      <c r="Y71" s="137"/>
      <c r="Z71" s="137"/>
      <c r="AA71" s="137"/>
      <c r="AB71" s="137"/>
      <c r="AC71" s="137"/>
      <c r="AD71" s="137"/>
      <c r="AE71" s="137"/>
      <c r="AF71" s="137"/>
      <c r="AG71" s="8"/>
      <c r="AH71" s="8"/>
    </row>
    <row r="72" spans="1:34" ht="12.75" x14ac:dyDescent="0.2">
      <c r="A72" s="8"/>
      <c r="B72" s="9"/>
      <c r="C72" s="8"/>
      <c r="D72" s="8"/>
      <c r="E72" s="8"/>
      <c r="F72" s="8"/>
      <c r="G72" s="8"/>
      <c r="H72" s="8"/>
      <c r="I72" s="8"/>
      <c r="J72" s="8"/>
      <c r="K72" s="8"/>
      <c r="L72" s="8"/>
      <c r="M72" s="8"/>
      <c r="N72" s="8"/>
      <c r="O72" s="8"/>
      <c r="P72" s="8"/>
      <c r="Q72" s="8"/>
      <c r="R72" s="8"/>
      <c r="S72" s="8"/>
      <c r="T72" s="8"/>
      <c r="U72" s="8"/>
      <c r="V72" s="8"/>
      <c r="W72" s="8"/>
      <c r="X72" s="137"/>
      <c r="Y72" s="137"/>
      <c r="Z72" s="137"/>
      <c r="AA72" s="137"/>
      <c r="AB72" s="137"/>
      <c r="AC72" s="137"/>
      <c r="AD72" s="137"/>
      <c r="AE72" s="137"/>
      <c r="AF72" s="137"/>
      <c r="AG72" s="8"/>
      <c r="AH72" s="8"/>
    </row>
    <row r="73" spans="1:34" ht="15.6" customHeight="1" x14ac:dyDescent="0.2">
      <c r="A73" s="8"/>
      <c r="B73" s="8"/>
      <c r="C73" s="8"/>
      <c r="D73" s="8"/>
      <c r="E73" s="8"/>
      <c r="F73" s="8"/>
      <c r="G73" s="8"/>
      <c r="H73" s="8"/>
      <c r="I73" s="8"/>
      <c r="J73" s="8"/>
      <c r="K73" s="8"/>
      <c r="L73" s="8"/>
      <c r="M73" s="8"/>
      <c r="N73" s="8"/>
      <c r="O73" s="8"/>
      <c r="P73" s="8"/>
      <c r="Q73" s="8"/>
      <c r="R73" s="8"/>
      <c r="S73" s="8"/>
      <c r="T73" s="8"/>
      <c r="U73" s="8"/>
      <c r="V73" s="8"/>
      <c r="W73" s="8"/>
      <c r="X73" s="137"/>
      <c r="Y73" s="137"/>
      <c r="Z73" s="137"/>
      <c r="AA73" s="137"/>
      <c r="AB73" s="137"/>
      <c r="AC73" s="137"/>
      <c r="AD73" s="137"/>
      <c r="AE73" s="137"/>
      <c r="AF73" s="137"/>
      <c r="AG73" s="8"/>
      <c r="AH73" s="8"/>
    </row>
    <row r="74" spans="1:34" ht="15.6" customHeight="1" x14ac:dyDescent="0.2">
      <c r="A74" s="8"/>
      <c r="B74" s="8"/>
      <c r="C74" s="8"/>
      <c r="D74" s="8"/>
      <c r="E74" s="8"/>
      <c r="F74" s="8"/>
      <c r="G74" s="8"/>
      <c r="H74" s="8"/>
      <c r="I74" s="8"/>
      <c r="J74" s="8"/>
      <c r="K74" s="8"/>
      <c r="L74" s="8"/>
      <c r="M74" s="8"/>
      <c r="N74" s="8"/>
      <c r="O74" s="8"/>
      <c r="P74" s="8"/>
      <c r="Q74" s="8"/>
      <c r="R74" s="8"/>
      <c r="S74" s="8"/>
      <c r="T74" s="8"/>
      <c r="U74" s="8"/>
      <c r="V74" s="8"/>
      <c r="W74" s="8"/>
      <c r="X74" s="137"/>
      <c r="Y74" s="137"/>
      <c r="Z74" s="137"/>
      <c r="AA74" s="137"/>
      <c r="AB74" s="137"/>
      <c r="AC74" s="137"/>
      <c r="AD74" s="137"/>
      <c r="AE74" s="137"/>
      <c r="AF74" s="137"/>
      <c r="AG74" s="8"/>
      <c r="AH74" s="8"/>
    </row>
    <row r="75" spans="1:34" ht="15.6" customHeight="1" x14ac:dyDescent="0.2">
      <c r="A75" s="8"/>
      <c r="B75" s="8"/>
      <c r="C75" s="8"/>
      <c r="D75" s="8"/>
      <c r="E75" s="8"/>
      <c r="F75" s="8"/>
      <c r="G75" s="8"/>
      <c r="H75" s="8"/>
      <c r="I75" s="8"/>
      <c r="J75" s="8"/>
      <c r="K75" s="8"/>
      <c r="L75" s="8"/>
      <c r="M75" s="8"/>
      <c r="N75" s="8"/>
      <c r="O75" s="8"/>
      <c r="P75" s="8"/>
      <c r="Q75" s="8"/>
      <c r="R75" s="8"/>
      <c r="S75" s="8"/>
      <c r="T75" s="8"/>
      <c r="U75" s="8"/>
      <c r="V75" s="8"/>
      <c r="W75" s="8"/>
      <c r="X75" s="137"/>
      <c r="Y75" s="137"/>
      <c r="Z75" s="137"/>
      <c r="AA75" s="137"/>
      <c r="AB75" s="137"/>
      <c r="AC75" s="137"/>
      <c r="AD75" s="137"/>
      <c r="AE75" s="137"/>
      <c r="AF75" s="137"/>
      <c r="AG75" s="8"/>
      <c r="AH75" s="8"/>
    </row>
    <row r="76" spans="1:34" ht="15.6" customHeight="1" x14ac:dyDescent="0.2">
      <c r="A76" s="8"/>
      <c r="B76" s="8"/>
      <c r="C76" s="8"/>
      <c r="D76" s="8"/>
      <c r="E76" s="8"/>
      <c r="F76" s="8"/>
      <c r="G76" s="8"/>
      <c r="H76" s="8"/>
      <c r="I76" s="8"/>
      <c r="J76" s="8"/>
      <c r="K76" s="8"/>
      <c r="L76" s="8"/>
      <c r="M76" s="8"/>
      <c r="N76" s="8"/>
      <c r="O76" s="8"/>
      <c r="P76" s="8"/>
      <c r="Q76" s="8"/>
      <c r="R76" s="8"/>
      <c r="S76" s="8"/>
      <c r="T76" s="8"/>
      <c r="U76" s="8"/>
      <c r="V76" s="8"/>
      <c r="W76" s="8"/>
      <c r="X76" s="137"/>
      <c r="Y76" s="137"/>
      <c r="Z76" s="137"/>
      <c r="AA76" s="137"/>
      <c r="AB76" s="137"/>
      <c r="AC76" s="137"/>
      <c r="AD76" s="137"/>
      <c r="AE76" s="137"/>
      <c r="AF76" s="137"/>
      <c r="AG76" s="8"/>
      <c r="AH76" s="8"/>
    </row>
    <row r="77" spans="1:34" ht="15.6" customHeight="1" x14ac:dyDescent="0.2">
      <c r="A77" s="8"/>
      <c r="B77" s="8"/>
      <c r="C77" s="8"/>
      <c r="D77" s="8"/>
      <c r="E77" s="8"/>
      <c r="F77" s="8"/>
      <c r="G77" s="8"/>
      <c r="H77" s="8"/>
      <c r="I77" s="8"/>
      <c r="J77" s="8"/>
      <c r="K77" s="8"/>
      <c r="L77" s="8"/>
      <c r="M77" s="8"/>
      <c r="N77" s="8"/>
      <c r="O77" s="8"/>
      <c r="P77" s="8"/>
      <c r="Q77" s="8"/>
      <c r="R77" s="8"/>
      <c r="S77" s="8"/>
      <c r="T77" s="8"/>
      <c r="U77" s="8"/>
      <c r="V77" s="8"/>
      <c r="W77" s="8"/>
      <c r="X77" s="137"/>
      <c r="Y77" s="137"/>
      <c r="Z77" s="137"/>
      <c r="AA77" s="137"/>
      <c r="AB77" s="137"/>
      <c r="AC77" s="137"/>
      <c r="AD77" s="137"/>
      <c r="AE77" s="137"/>
      <c r="AF77" s="137"/>
      <c r="AG77" s="8"/>
      <c r="AH77" s="8"/>
    </row>
    <row r="78" spans="1:34" ht="15.6" customHeight="1" x14ac:dyDescent="0.2">
      <c r="A78" s="8"/>
      <c r="B78" s="8"/>
      <c r="C78" s="8"/>
      <c r="D78" s="8"/>
      <c r="E78" s="8"/>
      <c r="F78" s="8"/>
      <c r="G78" s="8"/>
      <c r="H78" s="8"/>
      <c r="I78" s="8"/>
      <c r="J78" s="8"/>
      <c r="K78" s="8"/>
      <c r="L78" s="8"/>
      <c r="M78" s="8"/>
      <c r="N78" s="8"/>
      <c r="O78" s="8"/>
      <c r="P78" s="8"/>
      <c r="Q78" s="8"/>
      <c r="R78" s="8"/>
      <c r="S78" s="8"/>
      <c r="T78" s="8"/>
      <c r="U78" s="8"/>
      <c r="V78" s="8"/>
      <c r="W78" s="8"/>
      <c r="X78" s="137"/>
      <c r="Y78" s="137"/>
      <c r="Z78" s="137"/>
      <c r="AA78" s="137"/>
      <c r="AB78" s="137"/>
      <c r="AC78" s="137"/>
      <c r="AD78" s="137"/>
      <c r="AE78" s="137"/>
      <c r="AF78" s="137"/>
      <c r="AG78" s="8"/>
      <c r="AH78" s="8"/>
    </row>
    <row r="79" spans="1:34" ht="15.6" customHeight="1" x14ac:dyDescent="0.2">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row>
    <row r="80" spans="1:34" ht="15.6" customHeight="1" x14ac:dyDescent="0.2">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row>
    <row r="81" spans="1:34" ht="15.6" customHeight="1" x14ac:dyDescent="0.2">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row>
    <row r="82" spans="1:34" ht="15.6" customHeight="1" x14ac:dyDescent="0.2">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row>
    <row r="83" spans="1:34" ht="15.6" customHeight="1" x14ac:dyDescent="0.2">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row>
    <row r="84" spans="1:34" ht="15.6" customHeight="1" x14ac:dyDescent="0.2">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row>
    <row r="85" spans="1:34" ht="15.6" customHeight="1" x14ac:dyDescent="0.2">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row>
    <row r="86" spans="1:34" ht="15.6" customHeight="1" x14ac:dyDescent="0.2">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row>
    <row r="87" spans="1:34" ht="15.6" customHeight="1" x14ac:dyDescent="0.2">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row>
    <row r="88" spans="1:34" ht="15.6" customHeight="1" x14ac:dyDescent="0.2">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row>
    <row r="89" spans="1:34" ht="15.6" customHeight="1" x14ac:dyDescent="0.2">
      <c r="A89" s="8"/>
      <c r="B89" s="8"/>
      <c r="C89" s="8"/>
      <c r="D89" s="8"/>
      <c r="E89" s="8"/>
      <c r="F89" s="8"/>
      <c r="G89" s="8"/>
      <c r="H89" s="8"/>
      <c r="W89" s="8"/>
      <c r="X89" s="8"/>
      <c r="Y89" s="8"/>
      <c r="Z89" s="8"/>
      <c r="AA89" s="8"/>
      <c r="AB89" s="8"/>
      <c r="AC89" s="8"/>
      <c r="AD89" s="8"/>
      <c r="AE89" s="8"/>
      <c r="AF89" s="8"/>
      <c r="AG89" s="8"/>
    </row>
    <row r="90" spans="1:34" ht="15.6" customHeight="1" x14ac:dyDescent="0.2">
      <c r="A90" s="8"/>
      <c r="B90" s="8"/>
      <c r="C90" s="8"/>
      <c r="D90" s="8"/>
      <c r="E90" s="8"/>
      <c r="F90" s="8"/>
      <c r="G90" s="8"/>
      <c r="H90" s="8"/>
    </row>
    <row r="91" spans="1:34" ht="15.6" customHeight="1" x14ac:dyDescent="0.2">
      <c r="A91" s="8"/>
      <c r="B91" s="8"/>
      <c r="C91" s="8"/>
      <c r="D91" s="8"/>
      <c r="E91" s="8"/>
      <c r="F91" s="8"/>
      <c r="G91" s="8"/>
      <c r="H91" s="8"/>
    </row>
    <row r="92" spans="1:34" ht="15.6" customHeight="1" x14ac:dyDescent="0.2">
      <c r="A92" s="8"/>
      <c r="B92" s="8"/>
      <c r="C92" s="8"/>
      <c r="D92" s="8"/>
      <c r="E92" s="8"/>
      <c r="F92" s="8"/>
      <c r="G92" s="8"/>
      <c r="H92" s="8"/>
    </row>
    <row r="93" spans="1:34" ht="15.6" customHeight="1" x14ac:dyDescent="0.2">
      <c r="A93" s="8"/>
      <c r="B93" s="8"/>
      <c r="C93" s="8"/>
      <c r="D93" s="8"/>
      <c r="E93" s="8"/>
      <c r="F93" s="8"/>
      <c r="G93" s="8"/>
      <c r="H93" s="8"/>
    </row>
    <row r="94" spans="1:34" ht="15.6" customHeight="1" x14ac:dyDescent="0.2">
      <c r="A94" s="8"/>
      <c r="B94" s="8"/>
      <c r="C94" s="8"/>
      <c r="D94" s="8"/>
      <c r="E94" s="8"/>
      <c r="F94" s="8"/>
      <c r="G94" s="8"/>
      <c r="H94" s="8"/>
    </row>
    <row r="95" spans="1:34" ht="15.6" customHeight="1" x14ac:dyDescent="0.2">
      <c r="A95" s="8"/>
      <c r="B95" s="8"/>
      <c r="C95" s="8"/>
      <c r="D95" s="8"/>
      <c r="E95" s="8"/>
      <c r="F95" s="8"/>
      <c r="G95" s="8"/>
      <c r="H95" s="8"/>
    </row>
    <row r="96" spans="1:34" ht="15.6" customHeight="1" x14ac:dyDescent="0.2">
      <c r="A96" s="8"/>
      <c r="B96" s="8"/>
      <c r="C96" s="8"/>
      <c r="D96" s="8"/>
      <c r="E96" s="8"/>
      <c r="F96" s="8"/>
      <c r="G96" s="8"/>
      <c r="H96" s="8"/>
    </row>
    <row r="97" spans="1:8" ht="15.6" customHeight="1" x14ac:dyDescent="0.2">
      <c r="A97" s="8"/>
      <c r="B97" s="8"/>
      <c r="C97" s="8"/>
      <c r="D97" s="8"/>
      <c r="E97" s="8"/>
      <c r="F97" s="8"/>
      <c r="G97" s="8"/>
      <c r="H97" s="8"/>
    </row>
    <row r="98" spans="1:8" ht="15.6" customHeight="1" x14ac:dyDescent="0.2">
      <c r="A98" s="8"/>
      <c r="B98" s="8"/>
      <c r="C98" s="8"/>
      <c r="D98" s="8"/>
      <c r="E98" s="8"/>
      <c r="F98" s="8"/>
      <c r="G98" s="8"/>
      <c r="H98" s="8"/>
    </row>
    <row r="99" spans="1:8" ht="15.6" customHeight="1" x14ac:dyDescent="0.2">
      <c r="A99" s="8"/>
      <c r="B99" s="8"/>
      <c r="C99" s="8"/>
      <c r="D99" s="8"/>
      <c r="E99" s="8"/>
      <c r="F99" s="8"/>
      <c r="G99" s="8"/>
      <c r="H99" s="8"/>
    </row>
    <row r="100" spans="1:8" ht="15.6" customHeight="1" x14ac:dyDescent="0.2">
      <c r="A100" s="8"/>
      <c r="B100" s="8"/>
      <c r="C100" s="8"/>
      <c r="D100" s="8"/>
      <c r="E100" s="8"/>
      <c r="F100" s="8"/>
      <c r="G100" s="8"/>
      <c r="H100" s="8"/>
    </row>
    <row r="101" spans="1:8" ht="15.6" customHeight="1" x14ac:dyDescent="0.2">
      <c r="A101" s="8"/>
      <c r="B101" s="8"/>
      <c r="C101" s="8"/>
      <c r="D101" s="8"/>
      <c r="E101" s="8"/>
      <c r="F101" s="8"/>
      <c r="G101" s="8"/>
      <c r="H101" s="8"/>
    </row>
    <row r="102" spans="1:8" ht="15.6" customHeight="1" x14ac:dyDescent="0.2">
      <c r="A102" s="8"/>
      <c r="B102" s="8"/>
      <c r="C102" s="8"/>
      <c r="D102" s="8"/>
      <c r="E102" s="8"/>
      <c r="F102" s="8"/>
      <c r="G102" s="8"/>
      <c r="H102" s="8"/>
    </row>
    <row r="103" spans="1:8" ht="15.6" customHeight="1" x14ac:dyDescent="0.2">
      <c r="A103" s="8"/>
      <c r="B103" s="8"/>
      <c r="C103" s="8"/>
      <c r="D103" s="8"/>
      <c r="E103" s="8"/>
      <c r="F103" s="8"/>
      <c r="G103" s="8"/>
      <c r="H103" s="8"/>
    </row>
    <row r="104" spans="1:8" ht="15.6" customHeight="1" x14ac:dyDescent="0.2">
      <c r="A104" s="8"/>
      <c r="B104" s="8"/>
      <c r="C104" s="8"/>
      <c r="D104" s="8"/>
      <c r="E104" s="8"/>
      <c r="F104" s="8"/>
      <c r="G104" s="8"/>
      <c r="H104" s="8"/>
    </row>
    <row r="105" spans="1:8" ht="15.6" customHeight="1" x14ac:dyDescent="0.2">
      <c r="A105" s="8"/>
      <c r="B105" s="8"/>
      <c r="C105" s="8"/>
      <c r="D105" s="8"/>
      <c r="E105" s="8"/>
      <c r="F105" s="8"/>
      <c r="G105" s="8"/>
      <c r="H105" s="8"/>
    </row>
    <row r="106" spans="1:8" ht="15.6" customHeight="1" x14ac:dyDescent="0.2">
      <c r="A106" s="8"/>
      <c r="B106" s="8"/>
      <c r="C106" s="8"/>
      <c r="D106" s="8"/>
      <c r="E106" s="8"/>
      <c r="F106" s="8"/>
      <c r="G106" s="8"/>
      <c r="H106" s="8"/>
    </row>
    <row r="107" spans="1:8" ht="15.6" customHeight="1" x14ac:dyDescent="0.2">
      <c r="A107" s="8"/>
      <c r="B107" s="8"/>
      <c r="C107" s="8"/>
      <c r="D107" s="8"/>
      <c r="E107" s="8"/>
      <c r="F107" s="8"/>
      <c r="G107" s="8"/>
      <c r="H107" s="8"/>
    </row>
    <row r="108" spans="1:8" ht="15.6" customHeight="1" x14ac:dyDescent="0.2">
      <c r="A108" s="8"/>
      <c r="B108" s="8"/>
      <c r="C108" s="8"/>
      <c r="D108" s="8"/>
      <c r="E108" s="8"/>
      <c r="F108" s="8"/>
      <c r="G108" s="8"/>
      <c r="H108" s="8"/>
    </row>
    <row r="109" spans="1:8" ht="15.6" customHeight="1" x14ac:dyDescent="0.2">
      <c r="A109" s="8"/>
      <c r="B109" s="8"/>
      <c r="C109" s="8"/>
      <c r="D109" s="8"/>
      <c r="E109" s="8"/>
      <c r="F109" s="8"/>
      <c r="G109" s="8"/>
      <c r="H109" s="8"/>
    </row>
  </sheetData>
  <sheetProtection algorithmName="SHA-512" hashValue="PW+vsMnzbBVQ2Iw5zmc2IG/guQMgn5i4v58Uuz33IggxuybVsy8HQYv+jc9zuV/o8kTka+kNUULN7s4hu7a7FA==" saltValue="EvlAYRBy17WXAtMNIKN7RA==" spinCount="100000" sheet="1" objects="1" scenarios="1"/>
  <protectedRanges>
    <protectedRange sqref="T39" name="範囲1"/>
    <protectedRange sqref="AL3" name="範囲1_2"/>
  </protectedRanges>
  <mergeCells count="104">
    <mergeCell ref="AJ45:AN45"/>
    <mergeCell ref="N8:O8"/>
    <mergeCell ref="N9:O9"/>
    <mergeCell ref="N10:O10"/>
    <mergeCell ref="P8:Q8"/>
    <mergeCell ref="P9:Q9"/>
    <mergeCell ref="P10:Q10"/>
    <mergeCell ref="R13:S13"/>
    <mergeCell ref="P21:R21"/>
    <mergeCell ref="M25:O25"/>
    <mergeCell ref="M18:O18"/>
    <mergeCell ref="L13:M13"/>
    <mergeCell ref="N13:O13"/>
    <mergeCell ref="N14:O14"/>
    <mergeCell ref="T14:U14"/>
    <mergeCell ref="R14:S14"/>
    <mergeCell ref="P24:R24"/>
    <mergeCell ref="J23:L23"/>
    <mergeCell ref="M22:O22"/>
    <mergeCell ref="J24:L24"/>
    <mergeCell ref="J25:L25"/>
    <mergeCell ref="M23:O23"/>
    <mergeCell ref="M24:O24"/>
    <mergeCell ref="J22:L22"/>
    <mergeCell ref="X2:AN2"/>
    <mergeCell ref="B21:F21"/>
    <mergeCell ref="B20:F20"/>
    <mergeCell ref="B19:F19"/>
    <mergeCell ref="B18:F18"/>
    <mergeCell ref="S21:U21"/>
    <mergeCell ref="S20:U20"/>
    <mergeCell ref="S19:U19"/>
    <mergeCell ref="P19:R19"/>
    <mergeCell ref="G7:U7"/>
    <mergeCell ref="P18:R18"/>
    <mergeCell ref="J18:L18"/>
    <mergeCell ref="AL3:AM3"/>
    <mergeCell ref="B4:U4"/>
    <mergeCell ref="B8:C8"/>
    <mergeCell ref="J8:M8"/>
    <mergeCell ref="D8:I8"/>
    <mergeCell ref="B5:E5"/>
    <mergeCell ref="B6:E6"/>
    <mergeCell ref="B7:E7"/>
    <mergeCell ref="G5:U5"/>
    <mergeCell ref="G6:U6"/>
    <mergeCell ref="B2:U2"/>
    <mergeCell ref="G18:I18"/>
    <mergeCell ref="B22:F22"/>
    <mergeCell ref="G17:I17"/>
    <mergeCell ref="B17:F17"/>
    <mergeCell ref="B16:U16"/>
    <mergeCell ref="B13:C13"/>
    <mergeCell ref="B14:C14"/>
    <mergeCell ref="P25:R25"/>
    <mergeCell ref="T13:U13"/>
    <mergeCell ref="M17:O17"/>
    <mergeCell ref="S17:U17"/>
    <mergeCell ref="P17:R17"/>
    <mergeCell ref="J17:L17"/>
    <mergeCell ref="P14:Q14"/>
    <mergeCell ref="J19:L19"/>
    <mergeCell ref="J20:L20"/>
    <mergeCell ref="S18:U18"/>
    <mergeCell ref="M19:O19"/>
    <mergeCell ref="M20:O20"/>
    <mergeCell ref="P20:R20"/>
    <mergeCell ref="F14:I14"/>
    <mergeCell ref="J14:K14"/>
    <mergeCell ref="L14:M14"/>
    <mergeCell ref="B9:C9"/>
    <mergeCell ref="B10:C10"/>
    <mergeCell ref="E12:F12"/>
    <mergeCell ref="B11:C11"/>
    <mergeCell ref="G11:H11"/>
    <mergeCell ref="E11:F11"/>
    <mergeCell ref="J9:M9"/>
    <mergeCell ref="J10:M10"/>
    <mergeCell ref="J11:M11"/>
    <mergeCell ref="G12:H12"/>
    <mergeCell ref="N11:U11"/>
    <mergeCell ref="J12:U12"/>
    <mergeCell ref="J13:K13"/>
    <mergeCell ref="P13:Q13"/>
    <mergeCell ref="B26:F26"/>
    <mergeCell ref="G19:I19"/>
    <mergeCell ref="G20:I20"/>
    <mergeCell ref="G21:I21"/>
    <mergeCell ref="G22:I22"/>
    <mergeCell ref="G25:I25"/>
    <mergeCell ref="G26:U26"/>
    <mergeCell ref="S25:U25"/>
    <mergeCell ref="G23:I23"/>
    <mergeCell ref="G24:I24"/>
    <mergeCell ref="J21:L21"/>
    <mergeCell ref="M21:O21"/>
    <mergeCell ref="S24:U24"/>
    <mergeCell ref="S23:U23"/>
    <mergeCell ref="S22:U22"/>
    <mergeCell ref="P22:R22"/>
    <mergeCell ref="P23:R23"/>
    <mergeCell ref="B25:F25"/>
    <mergeCell ref="B24:F24"/>
    <mergeCell ref="B23:F23"/>
  </mergeCells>
  <phoneticPr fontId="2"/>
  <printOptions horizontalCentered="1" verticalCentered="1"/>
  <pageMargins left="0.35433070866141736" right="0.35433070866141736" top="0.47244094488188981" bottom="0.31496062992125984" header="0.31496062992125984" footer="0.51181102362204722"/>
  <pageSetup paperSize="9" scale="6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7"/>
  </sheetPr>
  <dimension ref="A1"/>
  <sheetViews>
    <sheetView zoomScaleNormal="100" workbookViewId="0">
      <selection activeCell="C30" sqref="C30"/>
    </sheetView>
  </sheetViews>
  <sheetFormatPr defaultColWidth="9.140625" defaultRowHeight="19.5" customHeight="1" x14ac:dyDescent="0.2"/>
  <cols>
    <col min="1" max="5" width="10" customWidth="1"/>
  </cols>
  <sheetData/>
  <sheetProtection password="BC7E" sheet="1" objects="1" scenarios="1"/>
  <phoneticPr fontId="2"/>
  <pageMargins left="0.75" right="0.75" top="1" bottom="1" header="0.51200000000000001" footer="0.51200000000000001"/>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fitToPage="1"/>
  </sheetPr>
  <dimension ref="A1:AP46"/>
  <sheetViews>
    <sheetView showGridLines="0" zoomScale="70" zoomScaleNormal="70" zoomScaleSheetLayoutView="70" workbookViewId="0">
      <selection activeCell="F25" sqref="F25:G25"/>
    </sheetView>
  </sheetViews>
  <sheetFormatPr defaultColWidth="8.85546875" defaultRowHeight="15.6" customHeight="1" x14ac:dyDescent="0.2"/>
  <cols>
    <col min="1" max="1" width="1.42578125" style="7" customWidth="1"/>
    <col min="2" max="5" width="7.85546875" style="7" customWidth="1"/>
    <col min="6" max="13" width="8.7109375" style="7" customWidth="1"/>
    <col min="14" max="15" width="1.42578125" style="7" customWidth="1"/>
    <col min="16" max="31" width="5.85546875" style="7" customWidth="1"/>
    <col min="32" max="32" width="7.42578125" style="7" customWidth="1"/>
    <col min="33" max="33" width="1.42578125" style="7" customWidth="1"/>
    <col min="34" max="34" width="8.85546875" style="7" customWidth="1"/>
    <col min="35" max="38" width="5.28515625" style="7" customWidth="1"/>
    <col min="39" max="42" width="5.28515625" style="8" customWidth="1"/>
    <col min="43" max="52" width="5.28515625" style="7" customWidth="1"/>
    <col min="53" max="16384" width="8.85546875" style="7"/>
  </cols>
  <sheetData>
    <row r="1" spans="1:41" ht="7.9" customHeight="1" x14ac:dyDescent="0.2">
      <c r="A1" s="243"/>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5"/>
    </row>
    <row r="2" spans="1:41" ht="22.5" customHeight="1" x14ac:dyDescent="0.2">
      <c r="A2" s="246"/>
      <c r="B2" s="938" t="s">
        <v>427</v>
      </c>
      <c r="C2" s="939"/>
      <c r="D2" s="939"/>
      <c r="E2" s="939"/>
      <c r="F2" s="939"/>
      <c r="G2" s="939"/>
      <c r="H2" s="939"/>
      <c r="I2" s="939"/>
      <c r="J2" s="939"/>
      <c r="K2" s="939"/>
      <c r="L2" s="939"/>
      <c r="M2" s="939"/>
      <c r="N2" s="276"/>
      <c r="O2" s="276"/>
      <c r="P2" s="940">
        <f ca="1">TODAY()</f>
        <v>44951</v>
      </c>
      <c r="Q2" s="941"/>
      <c r="R2" s="941"/>
      <c r="S2" s="941"/>
      <c r="T2" s="941"/>
      <c r="U2" s="941"/>
      <c r="V2" s="941"/>
      <c r="W2" s="941"/>
      <c r="X2" s="941"/>
      <c r="Y2" s="941"/>
      <c r="Z2" s="941"/>
      <c r="AA2" s="941"/>
      <c r="AB2" s="941"/>
      <c r="AC2" s="941"/>
      <c r="AD2" s="941"/>
      <c r="AE2" s="941"/>
      <c r="AF2" s="942"/>
      <c r="AG2" s="247"/>
    </row>
    <row r="3" spans="1:41" ht="16.899999999999999" customHeight="1" x14ac:dyDescent="0.2">
      <c r="A3" s="246"/>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943"/>
      <c r="AF3" s="943"/>
      <c r="AG3" s="249"/>
    </row>
    <row r="4" spans="1:41" ht="19.5" customHeight="1" x14ac:dyDescent="0.2">
      <c r="A4" s="246"/>
      <c r="B4" s="944" t="s">
        <v>463</v>
      </c>
      <c r="C4" s="945"/>
      <c r="D4" s="945"/>
      <c r="E4" s="945"/>
      <c r="F4" s="945"/>
      <c r="G4" s="945"/>
      <c r="H4" s="945"/>
      <c r="I4" s="945"/>
      <c r="J4" s="945"/>
      <c r="K4" s="945"/>
      <c r="L4" s="945"/>
      <c r="M4" s="946"/>
      <c r="N4" s="248"/>
      <c r="O4" s="248"/>
      <c r="P4" s="250"/>
      <c r="Q4" s="250"/>
      <c r="R4" s="250"/>
      <c r="S4" s="250"/>
      <c r="T4" s="250"/>
      <c r="U4" s="250"/>
      <c r="V4" s="250"/>
      <c r="W4" s="250"/>
      <c r="X4" s="250"/>
      <c r="Y4" s="250"/>
      <c r="Z4" s="250"/>
      <c r="AA4" s="250"/>
      <c r="AB4" s="250"/>
      <c r="AC4" s="250"/>
      <c r="AD4" s="250"/>
      <c r="AE4" s="250"/>
      <c r="AF4" s="250"/>
      <c r="AG4" s="249"/>
    </row>
    <row r="5" spans="1:41" ht="18.75" customHeight="1" x14ac:dyDescent="0.2">
      <c r="A5" s="246"/>
      <c r="B5" s="947" t="s">
        <v>324</v>
      </c>
      <c r="C5" s="948"/>
      <c r="D5" s="948"/>
      <c r="E5" s="431" t="s">
        <v>438</v>
      </c>
      <c r="F5" s="930" t="str">
        <f>IF(INPUT!E2&lt;&gt;"",INPUT!E2,"")</f>
        <v/>
      </c>
      <c r="G5" s="930"/>
      <c r="H5" s="930"/>
      <c r="I5" s="930"/>
      <c r="J5" s="930"/>
      <c r="K5" s="930"/>
      <c r="L5" s="930"/>
      <c r="M5" s="931"/>
      <c r="N5" s="248"/>
      <c r="O5" s="248"/>
      <c r="P5" s="250"/>
      <c r="Q5" s="250"/>
      <c r="R5" s="250"/>
      <c r="S5" s="250"/>
      <c r="T5" s="250"/>
      <c r="U5" s="250"/>
      <c r="V5" s="250"/>
      <c r="W5" s="250"/>
      <c r="X5" s="250"/>
      <c r="Y5" s="250"/>
      <c r="Z5" s="250"/>
      <c r="AA5" s="250"/>
      <c r="AB5" s="250"/>
      <c r="AC5" s="250"/>
      <c r="AD5" s="250"/>
      <c r="AE5" s="250"/>
      <c r="AF5" s="250"/>
      <c r="AG5" s="249"/>
    </row>
    <row r="6" spans="1:41" ht="18.75" customHeight="1" x14ac:dyDescent="0.2">
      <c r="A6" s="246"/>
      <c r="B6" s="928" t="s">
        <v>325</v>
      </c>
      <c r="C6" s="929"/>
      <c r="D6" s="929"/>
      <c r="E6" s="432" t="s">
        <v>438</v>
      </c>
      <c r="F6" s="930" t="str">
        <f>IF(INPUT!E3&lt;&gt;"",INPUT!E3,"")</f>
        <v/>
      </c>
      <c r="G6" s="930"/>
      <c r="H6" s="930"/>
      <c r="I6" s="930"/>
      <c r="J6" s="930"/>
      <c r="K6" s="930"/>
      <c r="L6" s="930"/>
      <c r="M6" s="931"/>
      <c r="N6" s="248"/>
      <c r="O6" s="248"/>
      <c r="P6" s="250"/>
      <c r="Q6" s="250"/>
      <c r="R6" s="250"/>
      <c r="S6" s="250"/>
      <c r="T6" s="250"/>
      <c r="U6" s="250"/>
      <c r="V6" s="250"/>
      <c r="W6" s="250"/>
      <c r="X6" s="250"/>
      <c r="Y6" s="250"/>
      <c r="Z6" s="250"/>
      <c r="AA6" s="250"/>
      <c r="AB6" s="250"/>
      <c r="AC6" s="250"/>
      <c r="AD6" s="250"/>
      <c r="AE6" s="250"/>
      <c r="AF6" s="250"/>
      <c r="AG6" s="249"/>
    </row>
    <row r="7" spans="1:41" ht="18.75" customHeight="1" x14ac:dyDescent="0.2">
      <c r="A7" s="246"/>
      <c r="B7" s="928" t="s">
        <v>326</v>
      </c>
      <c r="C7" s="929"/>
      <c r="D7" s="929"/>
      <c r="E7" s="432" t="s">
        <v>438</v>
      </c>
      <c r="F7" s="930" t="str">
        <f>IF(INPUT!E4&lt;&gt;"",INPUT!E4,"")</f>
        <v/>
      </c>
      <c r="G7" s="930"/>
      <c r="H7" s="930"/>
      <c r="I7" s="930"/>
      <c r="J7" s="930"/>
      <c r="K7" s="930"/>
      <c r="L7" s="930"/>
      <c r="M7" s="931"/>
      <c r="N7" s="248"/>
      <c r="O7" s="248"/>
      <c r="P7" s="248"/>
      <c r="Q7" s="248"/>
      <c r="R7" s="248"/>
      <c r="S7" s="248"/>
      <c r="T7" s="248"/>
      <c r="U7" s="248"/>
      <c r="V7" s="248"/>
      <c r="W7" s="248"/>
      <c r="X7" s="248"/>
      <c r="Y7" s="248"/>
      <c r="Z7" s="248"/>
      <c r="AA7" s="248"/>
      <c r="AB7" s="248"/>
      <c r="AC7" s="248"/>
      <c r="AD7" s="248"/>
      <c r="AE7" s="248"/>
      <c r="AF7" s="248"/>
      <c r="AG7" s="249"/>
    </row>
    <row r="8" spans="1:41" ht="18.75" customHeight="1" x14ac:dyDescent="0.2">
      <c r="A8" s="246"/>
      <c r="B8" s="932" t="s">
        <v>91</v>
      </c>
      <c r="C8" s="933"/>
      <c r="D8" s="934" t="str">
        <f>IF(Calculation!Q13&lt;&gt;"",IF(Calculation!Q13=1,"均質単板スラブ",IF(Calculation!Q13=2,"矩形中空合成スラブ",IF(Calculation!Q13=3,"穴あきPC板合成スラブ",IF(Calculation!Q13=4,"ハーフPCa合成スラブ",IF(Calculation!Q13=5,"円形中空スラブ",IF(Calculation!Q13=6,"波型中空合成スラブ",IF(Calculation!Q13=7,"波型中空スラブ","NG"))))))),"")</f>
        <v>波型中空合成スラブ</v>
      </c>
      <c r="E8" s="934"/>
      <c r="F8" s="934"/>
      <c r="G8" s="935"/>
      <c r="H8" s="936" t="s">
        <v>98</v>
      </c>
      <c r="I8" s="937"/>
      <c r="J8" s="439">
        <f>IF(INPUT!G52&lt;&gt;"",INPUT!G52,"")</f>
        <v>20</v>
      </c>
      <c r="K8" s="433" t="s">
        <v>439</v>
      </c>
      <c r="L8" s="433"/>
      <c r="M8" s="434"/>
      <c r="N8" s="248"/>
      <c r="O8" s="248"/>
      <c r="P8" s="248"/>
      <c r="Q8" s="248"/>
      <c r="R8" s="248"/>
      <c r="S8" s="248"/>
      <c r="T8" s="248"/>
      <c r="U8" s="248"/>
      <c r="V8" s="248"/>
      <c r="W8" s="248"/>
      <c r="X8" s="248"/>
      <c r="Y8" s="248"/>
      <c r="Z8" s="248"/>
      <c r="AA8" s="248"/>
      <c r="AB8" s="248"/>
      <c r="AC8" s="248"/>
      <c r="AD8" s="248"/>
      <c r="AE8" s="248"/>
      <c r="AF8" s="248"/>
      <c r="AG8" s="249"/>
    </row>
    <row r="9" spans="1:41" ht="18.75" customHeight="1" x14ac:dyDescent="0.2">
      <c r="A9" s="246"/>
      <c r="B9" s="932" t="s">
        <v>92</v>
      </c>
      <c r="C9" s="933"/>
      <c r="D9" s="257">
        <f>IF(Calculation!Q13&lt;&gt;"",Calculation!C86,"")</f>
        <v>140</v>
      </c>
      <c r="E9" s="256" t="s">
        <v>4</v>
      </c>
      <c r="F9" s="1103"/>
      <c r="G9" s="1104"/>
      <c r="H9" s="955" t="s">
        <v>99</v>
      </c>
      <c r="I9" s="956"/>
      <c r="J9" s="439">
        <f>IF(INPUT!G52&lt;&gt;"",IF(INPUT!K52&lt;&gt;"",IF(INPUT!O52&lt;&gt;"",Calculation!B240,""),""),"")</f>
        <v>102.5</v>
      </c>
      <c r="K9" s="433" t="s">
        <v>439</v>
      </c>
      <c r="L9" s="433"/>
      <c r="M9" s="434"/>
      <c r="N9" s="248"/>
      <c r="O9" s="248"/>
      <c r="P9" s="248"/>
      <c r="Q9" s="248"/>
      <c r="R9" s="248"/>
      <c r="S9" s="248"/>
      <c r="T9" s="248"/>
      <c r="U9" s="248"/>
      <c r="V9" s="248"/>
      <c r="W9" s="248"/>
      <c r="X9" s="248"/>
      <c r="Y9" s="248"/>
      <c r="Z9" s="248"/>
      <c r="AA9" s="248"/>
      <c r="AB9" s="248"/>
      <c r="AC9" s="248"/>
      <c r="AD9" s="248"/>
      <c r="AE9" s="248"/>
      <c r="AF9" s="248"/>
      <c r="AG9" s="249"/>
    </row>
    <row r="10" spans="1:41" ht="18.75" customHeight="1" x14ac:dyDescent="0.2">
      <c r="A10" s="246"/>
      <c r="B10" s="932" t="s">
        <v>97</v>
      </c>
      <c r="C10" s="933"/>
      <c r="D10" s="257">
        <f>IF(D9&lt;&gt;"",Calculation!J86,"")</f>
        <v>146.6322265336799</v>
      </c>
      <c r="E10" s="573" t="s">
        <v>4</v>
      </c>
      <c r="F10" s="957" t="str">
        <f>IF(Calculation!I136=TRUE,"中間柱あり","")</f>
        <v/>
      </c>
      <c r="G10" s="958"/>
      <c r="H10" s="955" t="s">
        <v>100</v>
      </c>
      <c r="I10" s="956"/>
      <c r="J10" s="312">
        <f>IF(INPUT!O52&lt;&gt;"",INPUT!O52,"")</f>
        <v>2500</v>
      </c>
      <c r="K10" s="433" t="s">
        <v>4</v>
      </c>
      <c r="L10" s="433"/>
      <c r="M10" s="434"/>
      <c r="N10" s="248"/>
      <c r="O10" s="248"/>
      <c r="P10" s="248"/>
      <c r="Q10" s="248"/>
      <c r="R10" s="248"/>
      <c r="S10" s="248"/>
      <c r="T10" s="248"/>
      <c r="U10" s="248"/>
      <c r="V10" s="248"/>
      <c r="W10" s="248"/>
      <c r="X10" s="248"/>
      <c r="Y10" s="248"/>
      <c r="Z10" s="248"/>
      <c r="AA10" s="248"/>
      <c r="AB10" s="248"/>
      <c r="AC10" s="248"/>
      <c r="AD10" s="248"/>
      <c r="AE10" s="248"/>
      <c r="AF10" s="248"/>
      <c r="AG10" s="249"/>
    </row>
    <row r="11" spans="1:41" ht="18.75" customHeight="1" x14ac:dyDescent="0.2">
      <c r="A11" s="246"/>
      <c r="B11" s="959" t="s">
        <v>94</v>
      </c>
      <c r="C11" s="960"/>
      <c r="D11" s="258" t="s">
        <v>465</v>
      </c>
      <c r="E11" s="961">
        <f>IF(INPUT!C21&lt;&gt;"",INPUT!C21,"")</f>
        <v>8000</v>
      </c>
      <c r="F11" s="961"/>
      <c r="G11" s="259" t="s">
        <v>4</v>
      </c>
      <c r="H11" s="955" t="s">
        <v>101</v>
      </c>
      <c r="I11" s="956"/>
      <c r="J11" s="949" t="str">
        <f>IF(INPUT!E51&lt;&gt;"",Calculation!B235,"")</f>
        <v xml:space="preserve"> フローリング仕上げ</v>
      </c>
      <c r="K11" s="949"/>
      <c r="L11" s="949"/>
      <c r="M11" s="950"/>
      <c r="N11" s="248"/>
      <c r="O11" s="248"/>
      <c r="P11" s="248"/>
      <c r="Q11" s="248"/>
      <c r="R11" s="248"/>
      <c r="S11" s="248"/>
      <c r="T11" s="248"/>
      <c r="U11" s="248"/>
      <c r="V11" s="248"/>
      <c r="W11" s="248"/>
      <c r="X11" s="248"/>
      <c r="Y11" s="248"/>
      <c r="Z11" s="248"/>
      <c r="AA11" s="248"/>
      <c r="AB11" s="248"/>
      <c r="AC11" s="248"/>
      <c r="AD11" s="248"/>
      <c r="AE11" s="248"/>
      <c r="AF11" s="248"/>
      <c r="AG11" s="249"/>
      <c r="AN11" s="428"/>
    </row>
    <row r="12" spans="1:41" ht="18.75" customHeight="1" x14ac:dyDescent="0.2">
      <c r="A12" s="246"/>
      <c r="B12" s="1101" t="str">
        <f>IF(Calculation!M136&lt;&gt;"",IF(Calculation!M136=1,"",IF(Calculation!M136=2,"中間柱有（x）",IF(Calculation!M136=3,"中間柱有（y）",""))),"")</f>
        <v>中間柱有（x）</v>
      </c>
      <c r="C12" s="1102"/>
      <c r="D12" s="432" t="s">
        <v>466</v>
      </c>
      <c r="E12" s="951">
        <f>IF(INPUT!C22&lt;&gt;"",INPUT!C22,"")</f>
        <v>9000</v>
      </c>
      <c r="F12" s="951"/>
      <c r="G12" s="262" t="s">
        <v>4</v>
      </c>
      <c r="H12" s="952" t="s">
        <v>102</v>
      </c>
      <c r="I12" s="949"/>
      <c r="J12" s="949"/>
      <c r="K12" s="949"/>
      <c r="L12" s="949"/>
      <c r="M12" s="950"/>
      <c r="N12" s="248"/>
      <c r="O12" s="248"/>
      <c r="P12" s="248"/>
      <c r="Q12" s="248"/>
      <c r="R12" s="248"/>
      <c r="S12" s="248"/>
      <c r="T12" s="248"/>
      <c r="U12" s="248"/>
      <c r="V12" s="248"/>
      <c r="W12" s="248"/>
      <c r="X12" s="248"/>
      <c r="Y12" s="248"/>
      <c r="Z12" s="248"/>
      <c r="AA12" s="248"/>
      <c r="AB12" s="248"/>
      <c r="AC12" s="248"/>
      <c r="AD12" s="248"/>
      <c r="AE12" s="248"/>
      <c r="AF12" s="248"/>
      <c r="AG12" s="249"/>
      <c r="AN12" s="574"/>
    </row>
    <row r="13" spans="1:41" ht="18.75" customHeight="1" x14ac:dyDescent="0.2">
      <c r="A13" s="246"/>
      <c r="B13" s="932" t="s">
        <v>96</v>
      </c>
      <c r="C13" s="933"/>
      <c r="D13" s="263">
        <f>IF(INPUT!H21&lt;&gt;"",Calculation!H173,"")</f>
        <v>72</v>
      </c>
      <c r="E13" s="433" t="s">
        <v>443</v>
      </c>
      <c r="F13" s="696"/>
      <c r="G13" s="697"/>
      <c r="H13" s="333" t="s">
        <v>12</v>
      </c>
      <c r="I13" s="435" t="s">
        <v>51</v>
      </c>
      <c r="J13" s="435" t="s">
        <v>13</v>
      </c>
      <c r="K13" s="435" t="s">
        <v>14</v>
      </c>
      <c r="L13" s="436" t="s">
        <v>403</v>
      </c>
      <c r="M13" s="437" t="s">
        <v>123</v>
      </c>
      <c r="N13" s="248"/>
      <c r="O13" s="248"/>
      <c r="P13" s="248"/>
      <c r="Q13" s="248"/>
      <c r="R13" s="248"/>
      <c r="S13" s="248"/>
      <c r="T13" s="248"/>
      <c r="U13" s="248"/>
      <c r="V13" s="248"/>
      <c r="W13" s="248"/>
      <c r="X13" s="248"/>
      <c r="Y13" s="248"/>
      <c r="Z13" s="248"/>
      <c r="AA13" s="248"/>
      <c r="AB13" s="248"/>
      <c r="AC13" s="248"/>
      <c r="AD13" s="248"/>
      <c r="AE13" s="248"/>
      <c r="AF13" s="248"/>
      <c r="AG13" s="249"/>
    </row>
    <row r="14" spans="1:41" ht="18.75" customHeight="1" x14ac:dyDescent="0.2">
      <c r="A14" s="246"/>
      <c r="B14" s="953" t="s">
        <v>449</v>
      </c>
      <c r="C14" s="933"/>
      <c r="D14" s="263">
        <f>IF(D13&lt;&gt;"",IF(D10&lt;&gt;"NG",Calculation!H176,""),"")</f>
        <v>9.0106208852520506</v>
      </c>
      <c r="E14" s="433" t="s">
        <v>450</v>
      </c>
      <c r="F14" s="954" t="str">
        <f>IF(D14&lt;&gt;"",Calculation!O176,"")</f>
        <v>8Hz帯域</v>
      </c>
      <c r="G14" s="954"/>
      <c r="H14" s="438">
        <f>IF(INPUT!G55&lt;&gt;"-",INPUT!G55,"")</f>
        <v>0.09</v>
      </c>
      <c r="I14" s="310">
        <f>IF(INPUT!I55&lt;&gt;"-",INPUT!I55,"")</f>
        <v>0.09</v>
      </c>
      <c r="J14" s="310">
        <f>IF(INPUT!K55&lt;&gt;"-",INPUT!K55,"")</f>
        <v>0.08</v>
      </c>
      <c r="K14" s="310">
        <f>IF(INPUT!M55&lt;&gt;"-",INPUT!M55,"")</f>
        <v>7.0000000000000007E-2</v>
      </c>
      <c r="L14" s="310">
        <f>IF(INPUT!O55&lt;&gt;"-",INPUT!O55,"")</f>
        <v>7.0000000000000007E-2</v>
      </c>
      <c r="M14" s="311">
        <f>IF(INPUT!Q55&lt;&gt;"-",INPUT!Q55,"")</f>
        <v>0.08</v>
      </c>
      <c r="N14" s="248"/>
      <c r="O14" s="248"/>
      <c r="P14" s="248"/>
      <c r="Q14" s="248"/>
      <c r="R14" s="248"/>
      <c r="S14" s="248"/>
      <c r="T14" s="248"/>
      <c r="U14" s="248"/>
      <c r="V14" s="248"/>
      <c r="W14" s="248"/>
      <c r="X14" s="248"/>
      <c r="Y14" s="248"/>
      <c r="Z14" s="248"/>
      <c r="AA14" s="248"/>
      <c r="AB14" s="248"/>
      <c r="AC14" s="248"/>
      <c r="AD14" s="248"/>
      <c r="AE14" s="248"/>
      <c r="AF14" s="248"/>
      <c r="AG14" s="249"/>
      <c r="AN14" s="973"/>
      <c r="AO14" s="973"/>
    </row>
    <row r="15" spans="1:41" ht="16.899999999999999" customHeight="1" x14ac:dyDescent="0.2">
      <c r="A15" s="246"/>
      <c r="B15" s="264"/>
      <c r="C15" s="264"/>
      <c r="D15" s="427"/>
      <c r="E15" s="265"/>
      <c r="F15" s="266"/>
      <c r="G15" s="266"/>
      <c r="H15" s="267"/>
      <c r="I15" s="267"/>
      <c r="J15" s="267"/>
      <c r="K15" s="267"/>
      <c r="L15" s="267"/>
      <c r="M15" s="267"/>
      <c r="N15" s="248"/>
      <c r="O15" s="248"/>
      <c r="P15" s="250"/>
      <c r="Q15" s="250"/>
      <c r="R15" s="250"/>
      <c r="S15" s="250"/>
      <c r="T15" s="250"/>
      <c r="U15" s="250"/>
      <c r="V15" s="250"/>
      <c r="W15" s="250"/>
      <c r="X15" s="250"/>
      <c r="Y15" s="250"/>
      <c r="Z15" s="250"/>
      <c r="AA15" s="250"/>
      <c r="AB15" s="250"/>
      <c r="AC15" s="250"/>
      <c r="AD15" s="250"/>
      <c r="AE15" s="250"/>
      <c r="AF15" s="250"/>
      <c r="AG15" s="249"/>
      <c r="AN15" s="969"/>
      <c r="AO15" s="969"/>
    </row>
    <row r="16" spans="1:41" ht="19.5" customHeight="1" x14ac:dyDescent="0.2">
      <c r="A16" s="246"/>
      <c r="B16" s="944" t="s">
        <v>396</v>
      </c>
      <c r="C16" s="945"/>
      <c r="D16" s="945"/>
      <c r="E16" s="945"/>
      <c r="F16" s="945"/>
      <c r="G16" s="945"/>
      <c r="H16" s="945"/>
      <c r="I16" s="945"/>
      <c r="J16" s="945"/>
      <c r="K16" s="945"/>
      <c r="L16" s="945"/>
      <c r="M16" s="946"/>
      <c r="N16" s="248"/>
      <c r="O16" s="248"/>
      <c r="P16" s="250"/>
      <c r="Q16" s="250"/>
      <c r="R16" s="250"/>
      <c r="S16" s="250"/>
      <c r="T16" s="250"/>
      <c r="U16" s="250"/>
      <c r="V16" s="250"/>
      <c r="W16" s="250"/>
      <c r="X16" s="250"/>
      <c r="Y16" s="250"/>
      <c r="Z16" s="250"/>
      <c r="AA16" s="250"/>
      <c r="AB16" s="250"/>
      <c r="AC16" s="250"/>
      <c r="AD16" s="250"/>
      <c r="AE16" s="250"/>
      <c r="AF16" s="250"/>
      <c r="AG16" s="249"/>
      <c r="AN16" s="969"/>
      <c r="AO16" s="969"/>
    </row>
    <row r="17" spans="1:41" ht="18" customHeight="1" x14ac:dyDescent="0.2">
      <c r="A17" s="246"/>
      <c r="B17" s="974"/>
      <c r="C17" s="975"/>
      <c r="D17" s="975"/>
      <c r="E17" s="975"/>
      <c r="F17" s="976" t="s">
        <v>299</v>
      </c>
      <c r="G17" s="977"/>
      <c r="H17" s="978" t="s">
        <v>300</v>
      </c>
      <c r="I17" s="978"/>
      <c r="J17" s="976" t="s">
        <v>301</v>
      </c>
      <c r="K17" s="977"/>
      <c r="L17" s="976" t="s">
        <v>14</v>
      </c>
      <c r="M17" s="977"/>
      <c r="N17" s="248"/>
      <c r="O17" s="248"/>
      <c r="P17" s="250"/>
      <c r="Q17" s="250"/>
      <c r="R17" s="250"/>
      <c r="S17" s="250"/>
      <c r="T17" s="250"/>
      <c r="U17" s="250"/>
      <c r="V17" s="250"/>
      <c r="W17" s="250"/>
      <c r="X17" s="250"/>
      <c r="Y17" s="250"/>
      <c r="Z17" s="250"/>
      <c r="AA17" s="250"/>
      <c r="AB17" s="250"/>
      <c r="AC17" s="250"/>
      <c r="AD17" s="250"/>
      <c r="AE17" s="250"/>
      <c r="AF17" s="250"/>
      <c r="AG17" s="249"/>
      <c r="AN17" s="972"/>
      <c r="AO17" s="972"/>
    </row>
    <row r="18" spans="1:41" ht="18" customHeight="1" x14ac:dyDescent="0.2">
      <c r="A18" s="246"/>
      <c r="B18" s="965" t="s">
        <v>302</v>
      </c>
      <c r="C18" s="966"/>
      <c r="D18" s="966"/>
      <c r="E18" s="966"/>
      <c r="F18" s="967">
        <f>IF(INPUT!$N$21&lt;&gt;"",IF(INPUT!$N$21="大脇・山下式2021",Calculation!G6,Calculation!G5),"")</f>
        <v>40</v>
      </c>
      <c r="G18" s="968"/>
      <c r="H18" s="969">
        <f>IF(INPUT!$N$21&lt;&gt;"",IF(INPUT!$N$21="大脇・山下式2021",Calculation!H6,Calculation!H5),"")</f>
        <v>22</v>
      </c>
      <c r="I18" s="970"/>
      <c r="J18" s="971">
        <f>IF(INPUT!$N$21&lt;&gt;"",IF(INPUT!$N$21="大脇・山下式2021",Calculation!I6,Calculation!I5),"")</f>
        <v>11.5</v>
      </c>
      <c r="K18" s="970"/>
      <c r="L18" s="971">
        <f>IF(INPUT!$N$21&lt;&gt;"",IF(INPUT!$N$21="大脇・山下式2021",Calculation!J6,Calculation!J5),"")</f>
        <v>5.5</v>
      </c>
      <c r="M18" s="970"/>
      <c r="N18" s="248"/>
      <c r="O18" s="248"/>
      <c r="P18" s="250"/>
      <c r="Q18" s="250"/>
      <c r="R18" s="250"/>
      <c r="S18" s="250"/>
      <c r="T18" s="250"/>
      <c r="U18" s="250"/>
      <c r="V18" s="250"/>
      <c r="W18" s="250"/>
      <c r="X18" s="250"/>
      <c r="Y18" s="250"/>
      <c r="Z18" s="250"/>
      <c r="AA18" s="250"/>
      <c r="AB18" s="250"/>
      <c r="AC18" s="250"/>
      <c r="AD18" s="250"/>
      <c r="AE18" s="250"/>
      <c r="AF18" s="250"/>
      <c r="AG18" s="249"/>
      <c r="AN18" s="972"/>
      <c r="AO18" s="972"/>
    </row>
    <row r="19" spans="1:41" ht="18" customHeight="1" x14ac:dyDescent="0.2">
      <c r="A19" s="246"/>
      <c r="B19" s="979" t="s">
        <v>303</v>
      </c>
      <c r="C19" s="980"/>
      <c r="D19" s="980"/>
      <c r="E19" s="980"/>
      <c r="F19" s="967">
        <f>IF(D10&lt;&gt;"",Calculation!E91,"")</f>
        <v>111.34080754140484</v>
      </c>
      <c r="G19" s="968"/>
      <c r="H19" s="981">
        <f>IF(D10&lt;&gt;"",F19,"")</f>
        <v>111.34080754140484</v>
      </c>
      <c r="I19" s="981"/>
      <c r="J19" s="967">
        <f>IF(D10&lt;&gt;"",H19,"")</f>
        <v>111.34080754140484</v>
      </c>
      <c r="K19" s="968"/>
      <c r="L19" s="967">
        <f>IF(D10&lt;&gt;"",J19,"")</f>
        <v>111.34080754140484</v>
      </c>
      <c r="M19" s="968"/>
      <c r="N19" s="248"/>
      <c r="O19" s="248"/>
      <c r="P19" s="250"/>
      <c r="Q19" s="250"/>
      <c r="R19" s="250"/>
      <c r="S19" s="250"/>
      <c r="T19" s="250"/>
      <c r="U19" s="250"/>
      <c r="V19" s="250"/>
      <c r="W19" s="250"/>
      <c r="X19" s="250"/>
      <c r="Y19" s="250"/>
      <c r="Z19" s="250"/>
      <c r="AA19" s="250"/>
      <c r="AB19" s="250"/>
      <c r="AC19" s="250"/>
      <c r="AD19" s="250"/>
      <c r="AE19" s="250"/>
      <c r="AF19" s="250"/>
      <c r="AG19" s="249"/>
    </row>
    <row r="20" spans="1:41" ht="18" customHeight="1" x14ac:dyDescent="0.2">
      <c r="A20" s="246"/>
      <c r="B20" s="982" t="s">
        <v>452</v>
      </c>
      <c r="C20" s="982"/>
      <c r="D20" s="982"/>
      <c r="E20" s="331" t="s">
        <v>15</v>
      </c>
      <c r="F20" s="983" t="str">
        <f>Calculation!I163</f>
        <v/>
      </c>
      <c r="G20" s="984"/>
      <c r="H20" s="985" t="str">
        <f>Calculation!J163</f>
        <v/>
      </c>
      <c r="I20" s="984"/>
      <c r="J20" s="986" t="str">
        <f>Calculation!K163</f>
        <v/>
      </c>
      <c r="K20" s="986"/>
      <c r="L20" s="986" t="str">
        <f>Calculation!L163</f>
        <v/>
      </c>
      <c r="M20" s="986"/>
      <c r="N20" s="248"/>
      <c r="O20" s="248"/>
      <c r="P20" s="250"/>
      <c r="Q20" s="250"/>
      <c r="R20" s="250"/>
      <c r="S20" s="250"/>
      <c r="T20" s="250"/>
      <c r="U20" s="250"/>
      <c r="V20" s="250"/>
      <c r="W20" s="250"/>
      <c r="X20" s="250"/>
      <c r="Y20" s="250"/>
      <c r="Z20" s="250"/>
      <c r="AA20" s="250"/>
      <c r="AB20" s="250"/>
      <c r="AC20" s="250"/>
      <c r="AD20" s="250"/>
      <c r="AE20" s="250"/>
      <c r="AF20" s="250"/>
      <c r="AG20" s="249"/>
    </row>
    <row r="21" spans="1:41" ht="18" customHeight="1" x14ac:dyDescent="0.2">
      <c r="A21" s="246"/>
      <c r="B21" s="982"/>
      <c r="C21" s="982"/>
      <c r="D21" s="982"/>
      <c r="E21" s="429" t="s">
        <v>40</v>
      </c>
      <c r="F21" s="987" t="str">
        <f>Calculation!I164</f>
        <v/>
      </c>
      <c r="G21" s="988"/>
      <c r="H21" s="988" t="str">
        <f>Calculation!J164</f>
        <v/>
      </c>
      <c r="I21" s="989"/>
      <c r="J21" s="989" t="str">
        <f>Calculation!K164</f>
        <v/>
      </c>
      <c r="K21" s="989"/>
      <c r="L21" s="989" t="str">
        <f>Calculation!L164</f>
        <v/>
      </c>
      <c r="M21" s="989"/>
      <c r="N21" s="248"/>
      <c r="O21" s="248"/>
      <c r="P21" s="250"/>
      <c r="Q21" s="250"/>
      <c r="R21" s="250"/>
      <c r="S21" s="250"/>
      <c r="T21" s="250"/>
      <c r="U21" s="250"/>
      <c r="V21" s="250"/>
      <c r="W21" s="250"/>
      <c r="X21" s="250"/>
      <c r="Y21" s="250"/>
      <c r="Z21" s="250"/>
      <c r="AA21" s="250"/>
      <c r="AB21" s="250"/>
      <c r="AC21" s="250"/>
      <c r="AD21" s="250"/>
      <c r="AE21" s="250"/>
      <c r="AF21" s="250"/>
      <c r="AG21" s="249"/>
    </row>
    <row r="22" spans="1:41" ht="18" customHeight="1" x14ac:dyDescent="0.2">
      <c r="A22" s="246"/>
      <c r="B22" s="982"/>
      <c r="C22" s="982"/>
      <c r="D22" s="982"/>
      <c r="E22" s="429" t="s">
        <v>41</v>
      </c>
      <c r="F22" s="987">
        <f>Calculation!I165</f>
        <v>1.9383415747557446</v>
      </c>
      <c r="G22" s="988"/>
      <c r="H22" s="988">
        <f>Calculation!J165</f>
        <v>0.62189329785146441</v>
      </c>
      <c r="I22" s="989"/>
      <c r="J22" s="989">
        <f>Calculation!K165</f>
        <v>0</v>
      </c>
      <c r="K22" s="989"/>
      <c r="L22" s="989">
        <f>Calculation!L165</f>
        <v>0</v>
      </c>
      <c r="M22" s="989"/>
      <c r="N22" s="248"/>
      <c r="O22" s="248"/>
      <c r="P22" s="250"/>
      <c r="Q22" s="250"/>
      <c r="R22" s="250"/>
      <c r="S22" s="250"/>
      <c r="T22" s="250"/>
      <c r="U22" s="250"/>
      <c r="V22" s="250"/>
      <c r="W22" s="250"/>
      <c r="X22" s="250"/>
      <c r="Y22" s="250"/>
      <c r="Z22" s="250"/>
      <c r="AA22" s="250"/>
      <c r="AB22" s="250"/>
      <c r="AC22" s="250"/>
      <c r="AD22" s="250"/>
      <c r="AE22" s="250"/>
      <c r="AF22" s="250"/>
      <c r="AG22" s="249"/>
    </row>
    <row r="23" spans="1:41" ht="18" customHeight="1" x14ac:dyDescent="0.2">
      <c r="A23" s="246"/>
      <c r="B23" s="982"/>
      <c r="C23" s="982"/>
      <c r="D23" s="982"/>
      <c r="E23" s="429" t="s">
        <v>113</v>
      </c>
      <c r="F23" s="987">
        <f>Calculation!I166</f>
        <v>4.6926469489744989</v>
      </c>
      <c r="G23" s="988"/>
      <c r="H23" s="988">
        <f>Calculation!J166</f>
        <v>3.3984768035171005</v>
      </c>
      <c r="I23" s="989"/>
      <c r="J23" s="989">
        <f>Calculation!K166</f>
        <v>1.954960694261219</v>
      </c>
      <c r="K23" s="989"/>
      <c r="L23" s="989">
        <f>Calculation!L166</f>
        <v>0.62189329785146441</v>
      </c>
      <c r="M23" s="989"/>
      <c r="N23" s="248"/>
      <c r="O23" s="248"/>
      <c r="P23" s="250"/>
      <c r="Q23" s="250"/>
      <c r="R23" s="250"/>
      <c r="S23" s="250"/>
      <c r="T23" s="250"/>
      <c r="U23" s="250"/>
      <c r="V23" s="250"/>
      <c r="W23" s="250"/>
      <c r="X23" s="250"/>
      <c r="Y23" s="250"/>
      <c r="Z23" s="250"/>
      <c r="AA23" s="250"/>
      <c r="AB23" s="250"/>
      <c r="AC23" s="250"/>
      <c r="AD23" s="250"/>
      <c r="AE23" s="250"/>
      <c r="AF23" s="250"/>
      <c r="AG23" s="249"/>
    </row>
    <row r="24" spans="1:41" ht="18" customHeight="1" x14ac:dyDescent="0.2">
      <c r="A24" s="246"/>
      <c r="B24" s="982"/>
      <c r="C24" s="982"/>
      <c r="D24" s="982"/>
      <c r="E24" s="430" t="s">
        <v>114</v>
      </c>
      <c r="F24" s="990">
        <f>Calculation!I167</f>
        <v>0.42441392664335353</v>
      </c>
      <c r="G24" s="991"/>
      <c r="H24" s="991">
        <f>Calculation!J167</f>
        <v>0</v>
      </c>
      <c r="I24" s="992"/>
      <c r="J24" s="992">
        <f>Calculation!K167</f>
        <v>0</v>
      </c>
      <c r="K24" s="992"/>
      <c r="L24" s="992">
        <f>Calculation!L167</f>
        <v>0</v>
      </c>
      <c r="M24" s="992"/>
      <c r="N24" s="248"/>
      <c r="O24" s="248"/>
      <c r="P24" s="250"/>
      <c r="Q24" s="250"/>
      <c r="R24" s="250"/>
      <c r="S24" s="250"/>
      <c r="T24" s="250"/>
      <c r="U24" s="250"/>
      <c r="V24" s="250"/>
      <c r="W24" s="250"/>
      <c r="X24" s="250"/>
      <c r="Y24" s="250"/>
      <c r="Z24" s="250"/>
      <c r="AA24" s="250"/>
      <c r="AB24" s="250"/>
      <c r="AC24" s="250"/>
      <c r="AD24" s="250"/>
      <c r="AE24" s="250"/>
      <c r="AF24" s="250"/>
      <c r="AG24" s="249"/>
    </row>
    <row r="25" spans="1:41" ht="18" customHeight="1" x14ac:dyDescent="0.2">
      <c r="A25" s="246"/>
      <c r="B25" s="979" t="s">
        <v>606</v>
      </c>
      <c r="C25" s="980"/>
      <c r="D25" s="980"/>
      <c r="E25" s="980"/>
      <c r="F25" s="993" t="str">
        <f>Calculation!U175</f>
        <v/>
      </c>
      <c r="G25" s="994"/>
      <c r="H25" s="995" t="str">
        <f>Calculation!V175</f>
        <v/>
      </c>
      <c r="I25" s="994"/>
      <c r="J25" s="993" t="str">
        <f>Calculation!W175</f>
        <v/>
      </c>
      <c r="K25" s="994"/>
      <c r="L25" s="993" t="str">
        <f>Calculation!X175</f>
        <v/>
      </c>
      <c r="M25" s="994"/>
      <c r="N25" s="248"/>
      <c r="O25" s="248"/>
      <c r="P25" s="250"/>
      <c r="Q25" s="250"/>
      <c r="R25" s="250"/>
      <c r="S25" s="250"/>
      <c r="T25" s="250"/>
      <c r="U25" s="250"/>
      <c r="V25" s="250"/>
      <c r="W25" s="250"/>
      <c r="X25" s="250"/>
      <c r="Y25" s="250"/>
      <c r="Z25" s="250"/>
      <c r="AA25" s="250"/>
      <c r="AB25" s="250"/>
      <c r="AC25" s="250"/>
      <c r="AD25" s="250"/>
      <c r="AE25" s="250"/>
      <c r="AF25" s="250"/>
      <c r="AG25" s="249"/>
    </row>
    <row r="26" spans="1:41" ht="18" customHeight="1" x14ac:dyDescent="0.2">
      <c r="A26" s="246"/>
      <c r="B26" s="996" t="s">
        <v>451</v>
      </c>
      <c r="C26" s="997"/>
      <c r="D26" s="998"/>
      <c r="E26" s="331" t="s">
        <v>15</v>
      </c>
      <c r="F26" s="1005" t="str">
        <f>IF(F25&lt;&gt;"",IF(F20&lt;&gt;"",F$19+F20+F$25,""),"")</f>
        <v/>
      </c>
      <c r="G26" s="1006"/>
      <c r="H26" s="1007" t="str">
        <f t="shared" ref="H26:H30" si="0">IF(H25&lt;&gt;"",IF(H20&lt;&gt;"",H$19+H20+H$25,""),"")</f>
        <v/>
      </c>
      <c r="I26" s="1008"/>
      <c r="J26" s="1005" t="str">
        <f t="shared" ref="J26:J30" si="1">IF(J25&lt;&gt;"",IF(J20&lt;&gt;"",J$19+J20+J$25,""),"")</f>
        <v/>
      </c>
      <c r="K26" s="1008"/>
      <c r="L26" s="1005" t="str">
        <f t="shared" ref="L26:L30" si="2">IF(L25&lt;&gt;"",IF(L20&lt;&gt;"",L$19+L20+L$25,""),"")</f>
        <v/>
      </c>
      <c r="M26" s="1008"/>
      <c r="N26" s="248"/>
      <c r="O26" s="248"/>
      <c r="P26" s="250"/>
      <c r="Q26" s="250"/>
      <c r="R26" s="250"/>
      <c r="S26" s="250"/>
      <c r="T26" s="250"/>
      <c r="U26" s="250"/>
      <c r="V26" s="250"/>
      <c r="W26" s="250"/>
      <c r="X26" s="250"/>
      <c r="Y26" s="250"/>
      <c r="Z26" s="250"/>
      <c r="AA26" s="250"/>
      <c r="AB26" s="250"/>
      <c r="AC26" s="250"/>
      <c r="AD26" s="250"/>
      <c r="AE26" s="250"/>
      <c r="AF26" s="250"/>
      <c r="AG26" s="249"/>
    </row>
    <row r="27" spans="1:41" ht="18" customHeight="1" x14ac:dyDescent="0.2">
      <c r="A27" s="246"/>
      <c r="B27" s="999"/>
      <c r="C27" s="1000"/>
      <c r="D27" s="1001"/>
      <c r="E27" s="429" t="s">
        <v>304</v>
      </c>
      <c r="F27" s="971" t="str">
        <f t="shared" ref="F27:F30" si="3">IF(F26&lt;&gt;"",IF(F21&lt;&gt;"",F$19+F21+F$25,""),"")</f>
        <v/>
      </c>
      <c r="G27" s="970"/>
      <c r="H27" s="969" t="str">
        <f t="shared" si="0"/>
        <v/>
      </c>
      <c r="I27" s="1009"/>
      <c r="J27" s="971" t="str">
        <f t="shared" si="1"/>
        <v/>
      </c>
      <c r="K27" s="1009"/>
      <c r="L27" s="971" t="str">
        <f t="shared" si="2"/>
        <v/>
      </c>
      <c r="M27" s="1009"/>
      <c r="N27" s="248"/>
      <c r="O27" s="248"/>
      <c r="P27" s="250"/>
      <c r="Q27" s="250"/>
      <c r="R27" s="250"/>
      <c r="S27" s="250"/>
      <c r="T27" s="250"/>
      <c r="U27" s="250"/>
      <c r="V27" s="250"/>
      <c r="W27" s="250"/>
      <c r="X27" s="250"/>
      <c r="Y27" s="250"/>
      <c r="Z27" s="250"/>
      <c r="AA27" s="250"/>
      <c r="AB27" s="250"/>
      <c r="AC27" s="250"/>
      <c r="AD27" s="250"/>
      <c r="AE27" s="250"/>
      <c r="AF27" s="250"/>
      <c r="AG27" s="249"/>
    </row>
    <row r="28" spans="1:41" ht="18" customHeight="1" x14ac:dyDescent="0.2">
      <c r="A28" s="246"/>
      <c r="B28" s="999"/>
      <c r="C28" s="1000"/>
      <c r="D28" s="1001"/>
      <c r="E28" s="429" t="s">
        <v>305</v>
      </c>
      <c r="F28" s="971" t="str">
        <f t="shared" si="3"/>
        <v/>
      </c>
      <c r="G28" s="970"/>
      <c r="H28" s="969" t="str">
        <f t="shared" si="0"/>
        <v/>
      </c>
      <c r="I28" s="1009"/>
      <c r="J28" s="971" t="str">
        <f t="shared" si="1"/>
        <v/>
      </c>
      <c r="K28" s="1009"/>
      <c r="L28" s="971" t="str">
        <f t="shared" si="2"/>
        <v/>
      </c>
      <c r="M28" s="1009"/>
      <c r="N28" s="248"/>
      <c r="O28" s="248"/>
      <c r="P28" s="250"/>
      <c r="Q28" s="250"/>
      <c r="R28" s="250"/>
      <c r="S28" s="250"/>
      <c r="T28" s="250"/>
      <c r="U28" s="250"/>
      <c r="V28" s="250"/>
      <c r="W28" s="250"/>
      <c r="X28" s="250"/>
      <c r="Y28" s="250"/>
      <c r="Z28" s="250"/>
      <c r="AA28" s="250"/>
      <c r="AB28" s="250"/>
      <c r="AC28" s="250"/>
      <c r="AD28" s="250"/>
      <c r="AE28" s="250"/>
      <c r="AF28" s="250"/>
      <c r="AG28" s="249"/>
    </row>
    <row r="29" spans="1:41" ht="18" customHeight="1" x14ac:dyDescent="0.2">
      <c r="A29" s="246"/>
      <c r="B29" s="999"/>
      <c r="C29" s="1000"/>
      <c r="D29" s="1001"/>
      <c r="E29" s="429" t="s">
        <v>42</v>
      </c>
      <c r="F29" s="971" t="str">
        <f t="shared" si="3"/>
        <v/>
      </c>
      <c r="G29" s="970"/>
      <c r="H29" s="969" t="str">
        <f t="shared" si="0"/>
        <v/>
      </c>
      <c r="I29" s="1009"/>
      <c r="J29" s="971" t="str">
        <f t="shared" si="1"/>
        <v/>
      </c>
      <c r="K29" s="1009"/>
      <c r="L29" s="971" t="str">
        <f t="shared" si="2"/>
        <v/>
      </c>
      <c r="M29" s="1009"/>
      <c r="N29" s="248"/>
      <c r="O29" s="248"/>
      <c r="P29" s="250"/>
      <c r="Q29" s="250"/>
      <c r="R29" s="250"/>
      <c r="S29" s="250"/>
      <c r="T29" s="250"/>
      <c r="U29" s="250"/>
      <c r="V29" s="250"/>
      <c r="W29" s="250"/>
      <c r="X29" s="250"/>
      <c r="Y29" s="250"/>
      <c r="Z29" s="250"/>
      <c r="AA29" s="250"/>
      <c r="AB29" s="250"/>
      <c r="AC29" s="250"/>
      <c r="AD29" s="250"/>
      <c r="AE29" s="250"/>
      <c r="AF29" s="250"/>
      <c r="AG29" s="249"/>
    </row>
    <row r="30" spans="1:41" ht="18" customHeight="1" x14ac:dyDescent="0.2">
      <c r="A30" s="246"/>
      <c r="B30" s="1002"/>
      <c r="C30" s="1003"/>
      <c r="D30" s="1004"/>
      <c r="E30" s="430" t="s">
        <v>307</v>
      </c>
      <c r="F30" s="1010" t="str">
        <f t="shared" si="3"/>
        <v/>
      </c>
      <c r="G30" s="1011"/>
      <c r="H30" s="1012" t="str">
        <f t="shared" si="0"/>
        <v/>
      </c>
      <c r="I30" s="1013"/>
      <c r="J30" s="1010" t="str">
        <f t="shared" si="1"/>
        <v/>
      </c>
      <c r="K30" s="1013"/>
      <c r="L30" s="1010" t="str">
        <f t="shared" si="2"/>
        <v/>
      </c>
      <c r="M30" s="1013"/>
      <c r="N30" s="248"/>
      <c r="O30" s="248"/>
      <c r="P30" s="250"/>
      <c r="Q30" s="248"/>
      <c r="R30" s="250"/>
      <c r="S30" s="250"/>
      <c r="T30" s="250"/>
      <c r="U30" s="250"/>
      <c r="V30" s="250"/>
      <c r="W30" s="250"/>
      <c r="X30" s="250"/>
      <c r="Y30" s="250"/>
      <c r="Z30" s="250"/>
      <c r="AA30" s="250"/>
      <c r="AB30" s="250"/>
      <c r="AC30" s="250"/>
      <c r="AD30" s="250"/>
      <c r="AE30" s="250"/>
      <c r="AF30" s="250"/>
      <c r="AG30" s="249"/>
    </row>
    <row r="31" spans="1:41" ht="18" customHeight="1" x14ac:dyDescent="0.2">
      <c r="A31" s="246"/>
      <c r="B31" s="979" t="s">
        <v>372</v>
      </c>
      <c r="C31" s="980"/>
      <c r="D31" s="980"/>
      <c r="E31" s="980"/>
      <c r="F31" s="1014">
        <f>IF(D13&lt;&gt;"",IF(INPUT!$N$21="大脇・山下式2021",Calculation!F202,"－"),"")</f>
        <v>-2.2000000000000002</v>
      </c>
      <c r="G31" s="1015"/>
      <c r="H31" s="1016">
        <f>IF(D13&lt;&gt;"",IF(INPUT!$N$21="大脇・山下式2021",Calculation!H202,"－"),"")</f>
        <v>-3.6</v>
      </c>
      <c r="I31" s="1015"/>
      <c r="J31" s="1014">
        <f>IF(D13&lt;&gt;"",IF(INPUT!$N$21="大脇・山下式2021",Calculation!J202,"－"),"")</f>
        <v>-5.6</v>
      </c>
      <c r="K31" s="1015"/>
      <c r="L31" s="1014">
        <f>IF(D13&lt;&gt;"",IF(INPUT!$N$21="大脇・山下式2021",Calculation!L202,"－"),"")</f>
        <v>-7.6</v>
      </c>
      <c r="M31" s="1015"/>
      <c r="N31" s="248"/>
      <c r="O31" s="248"/>
      <c r="P31" s="250"/>
      <c r="Q31" s="248"/>
      <c r="R31" s="250"/>
      <c r="S31" s="250"/>
      <c r="T31" s="250"/>
      <c r="U31" s="250"/>
      <c r="V31" s="250"/>
      <c r="W31" s="250"/>
      <c r="X31" s="250"/>
      <c r="Y31" s="250"/>
      <c r="Z31" s="250"/>
      <c r="AA31" s="250"/>
      <c r="AB31" s="250"/>
      <c r="AC31" s="250"/>
      <c r="AD31" s="250"/>
      <c r="AE31" s="250"/>
      <c r="AF31" s="250"/>
      <c r="AG31" s="249"/>
    </row>
    <row r="32" spans="1:41" ht="18" customHeight="1" x14ac:dyDescent="0.2">
      <c r="A32" s="246"/>
      <c r="B32" s="1017" t="s">
        <v>308</v>
      </c>
      <c r="C32" s="1018"/>
      <c r="D32" s="1018"/>
      <c r="E32" s="1018"/>
      <c r="F32" s="983">
        <f>IF(INPUT!C35&lt;&gt;"",INPUT!C35,"")</f>
        <v>5</v>
      </c>
      <c r="G32" s="984"/>
      <c r="H32" s="985">
        <f>IF(INPUT!C36&lt;&gt;"",INPUT!C36,"")</f>
        <v>6</v>
      </c>
      <c r="I32" s="985"/>
      <c r="J32" s="983">
        <f>IF(INPUT!C37&lt;&gt;"",INPUT!C37,"")</f>
        <v>7</v>
      </c>
      <c r="K32" s="984"/>
      <c r="L32" s="983">
        <f>IF(INPUT!C38&lt;&gt;"",INPUT!C38,"")</f>
        <v>8</v>
      </c>
      <c r="M32" s="984"/>
      <c r="N32" s="248"/>
      <c r="O32" s="248"/>
      <c r="P32" s="250"/>
      <c r="Q32" s="248"/>
      <c r="R32" s="250"/>
      <c r="S32" s="250"/>
      <c r="T32" s="250"/>
      <c r="U32" s="250"/>
      <c r="V32" s="250"/>
      <c r="W32" s="250"/>
      <c r="X32" s="250"/>
      <c r="Y32" s="250"/>
      <c r="Z32" s="250"/>
      <c r="AA32" s="250"/>
      <c r="AB32" s="250"/>
      <c r="AC32" s="250"/>
      <c r="AD32" s="250"/>
      <c r="AE32" s="250"/>
      <c r="AF32" s="250"/>
      <c r="AG32" s="249"/>
    </row>
    <row r="33" spans="1:42" ht="18" customHeight="1" x14ac:dyDescent="0.2">
      <c r="A33" s="246"/>
      <c r="B33" s="1019" t="s">
        <v>115</v>
      </c>
      <c r="C33" s="1020"/>
      <c r="D33" s="1020"/>
      <c r="E33" s="1020"/>
      <c r="F33" s="990">
        <f>IF(F32&lt;&gt;"",10*LOG10(F32),"")</f>
        <v>6.9897000433601884</v>
      </c>
      <c r="G33" s="991"/>
      <c r="H33" s="1021">
        <f>IF(H32&lt;&gt;"",10*LOG10(H32),"")</f>
        <v>7.7815125038364368</v>
      </c>
      <c r="I33" s="991"/>
      <c r="J33" s="990">
        <f>IF(J32&lt;&gt;"",10*LOG10(J32),"")</f>
        <v>8.4509804001425675</v>
      </c>
      <c r="K33" s="991"/>
      <c r="L33" s="990">
        <f>IF(L32&lt;&gt;"",10*LOG10(L32),"")</f>
        <v>9.0308998699194358</v>
      </c>
      <c r="M33" s="991"/>
      <c r="N33" s="248"/>
      <c r="O33" s="248"/>
      <c r="P33" s="250"/>
      <c r="Q33" s="248"/>
      <c r="R33" s="250"/>
      <c r="S33" s="250"/>
      <c r="T33" s="250"/>
      <c r="U33" s="250"/>
      <c r="V33" s="250"/>
      <c r="W33" s="250"/>
      <c r="X33" s="250"/>
      <c r="Y33" s="250"/>
      <c r="Z33" s="250"/>
      <c r="AA33" s="250"/>
      <c r="AB33" s="250"/>
      <c r="AC33" s="250"/>
      <c r="AD33" s="250"/>
      <c r="AE33" s="250"/>
      <c r="AF33" s="250"/>
      <c r="AG33" s="249"/>
    </row>
    <row r="34" spans="1:42" ht="18" customHeight="1" x14ac:dyDescent="0.2">
      <c r="A34" s="246"/>
      <c r="B34" s="979" t="s">
        <v>309</v>
      </c>
      <c r="C34" s="1022"/>
      <c r="D34" s="1022"/>
      <c r="E34" s="1022"/>
      <c r="F34" s="967">
        <f>IF(D10&lt;&gt;"",IF(INPUT!$N$21="大脇・山下式2021",Calculation!H232,Calculation!H233),"")</f>
        <v>-6.4823481473860021</v>
      </c>
      <c r="G34" s="968"/>
      <c r="H34" s="981">
        <f>IF(D10&lt;&gt;"",IF(INPUT!$N$21="大脇・山下式2021",Calculation!I232,Calculation!I233),"")</f>
        <v>-1.5411827372019327</v>
      </c>
      <c r="I34" s="968"/>
      <c r="J34" s="967">
        <f>IF(D10&lt;&gt;"",IF(INPUT!$N$21="大脇・山下式2021",Calculation!J232,Calculation!J233),"")</f>
        <v>-0.16984606480783637</v>
      </c>
      <c r="K34" s="968"/>
      <c r="L34" s="967">
        <f>IF(D10&lt;&gt;"",IF(INPUT!$N$21="大脇・山下式2021",Calculation!K232,Calculation!K233),"")</f>
        <v>0</v>
      </c>
      <c r="M34" s="968"/>
      <c r="N34" s="248"/>
      <c r="O34" s="248"/>
      <c r="P34" s="250"/>
      <c r="Q34" s="248"/>
      <c r="R34" s="250"/>
      <c r="S34" s="250"/>
      <c r="T34" s="250"/>
      <c r="U34" s="250"/>
      <c r="V34" s="250"/>
      <c r="W34" s="250"/>
      <c r="X34" s="250"/>
      <c r="Y34" s="250"/>
      <c r="Z34" s="250"/>
      <c r="AA34" s="250"/>
      <c r="AB34" s="250"/>
      <c r="AC34" s="250"/>
      <c r="AD34" s="250"/>
      <c r="AE34" s="250"/>
      <c r="AF34" s="250"/>
      <c r="AG34" s="249"/>
    </row>
    <row r="35" spans="1:42" ht="18" customHeight="1" x14ac:dyDescent="0.2">
      <c r="A35" s="246"/>
      <c r="B35" s="1017" t="s">
        <v>469</v>
      </c>
      <c r="C35" s="1023"/>
      <c r="D35" s="1023"/>
      <c r="E35" s="1023"/>
      <c r="F35" s="983">
        <f>IF(H14&lt;&gt;"",Calculation!C238,"")</f>
        <v>9.2249999999999996</v>
      </c>
      <c r="G35" s="984"/>
      <c r="H35" s="985">
        <f>IF(I14&lt;&gt;"",Calculation!D238,"")</f>
        <v>9.2249999999999996</v>
      </c>
      <c r="I35" s="984"/>
      <c r="J35" s="983">
        <f>IF(J14&lt;&gt;"",Calculation!E238,"")</f>
        <v>8.1999999999999993</v>
      </c>
      <c r="K35" s="984"/>
      <c r="L35" s="983">
        <f>IF(K14&lt;&gt;"",Calculation!F238,"")</f>
        <v>7.1750000000000007</v>
      </c>
      <c r="M35" s="984"/>
      <c r="N35" s="248"/>
      <c r="O35" s="248"/>
      <c r="P35" s="248"/>
      <c r="Q35" s="248"/>
      <c r="R35" s="248"/>
      <c r="S35" s="248"/>
      <c r="T35" s="248"/>
      <c r="U35" s="248"/>
      <c r="V35" s="248"/>
      <c r="W35" s="248"/>
      <c r="X35" s="248"/>
      <c r="Y35" s="248"/>
      <c r="Z35" s="248"/>
      <c r="AA35" s="248"/>
      <c r="AB35" s="248"/>
      <c r="AC35" s="248"/>
      <c r="AD35" s="248"/>
      <c r="AE35" s="248"/>
      <c r="AF35" s="248"/>
      <c r="AG35" s="249"/>
    </row>
    <row r="36" spans="1:42" ht="18" customHeight="1" x14ac:dyDescent="0.2">
      <c r="A36" s="246"/>
      <c r="B36" s="1019" t="s">
        <v>17</v>
      </c>
      <c r="C36" s="1020"/>
      <c r="D36" s="1020"/>
      <c r="E36" s="1020"/>
      <c r="F36" s="990">
        <f>IF(F35&lt;&gt;"",10*LOG10(F35),"")</f>
        <v>9.6496637483109797</v>
      </c>
      <c r="G36" s="991"/>
      <c r="H36" s="1021">
        <f>IF(H35&lt;&gt;"",10*LOG10(H35),"")</f>
        <v>9.6496637483109797</v>
      </c>
      <c r="I36" s="991"/>
      <c r="J36" s="990">
        <f>IF(J35&lt;&gt;"",10*LOG10(J35),"")</f>
        <v>9.1381385238371671</v>
      </c>
      <c r="K36" s="991"/>
      <c r="L36" s="990">
        <f>IF(L35&lt;&gt;"",10*LOG10(L35),"")</f>
        <v>8.5582190540603005</v>
      </c>
      <c r="M36" s="991"/>
      <c r="N36" s="248"/>
      <c r="O36" s="248"/>
      <c r="P36" s="268" t="s">
        <v>562</v>
      </c>
      <c r="Q36" s="248"/>
      <c r="R36" s="248"/>
      <c r="S36" s="248"/>
      <c r="T36" s="248"/>
      <c r="U36" s="248"/>
      <c r="V36" s="248"/>
      <c r="W36" s="248"/>
      <c r="X36" s="248"/>
      <c r="Y36" s="248"/>
      <c r="Z36" s="248"/>
      <c r="AA36" s="248"/>
      <c r="AB36" s="248"/>
      <c r="AC36" s="248"/>
      <c r="AD36" s="248"/>
      <c r="AE36" s="248"/>
      <c r="AF36" s="248"/>
      <c r="AG36" s="249"/>
    </row>
    <row r="37" spans="1:42" ht="18" customHeight="1" x14ac:dyDescent="0.2">
      <c r="A37" s="246"/>
      <c r="B37" s="979" t="s">
        <v>421</v>
      </c>
      <c r="C37" s="1022"/>
      <c r="D37" s="1022"/>
      <c r="E37" s="1022"/>
      <c r="F37" s="1014">
        <f>IF(INPUT!E51&lt;&gt;"",IF(INPUT!$N$21&lt;&gt;"",IF(INPUT!$N$21="大脇・山下式2021",Calculation!G247,Calculation!G248),""),"")</f>
        <v>5.2</v>
      </c>
      <c r="G37" s="1015"/>
      <c r="H37" s="1016">
        <f>IF(INPUT!E51&lt;&gt;"",IF(INPUT!$N$21&lt;&gt;"",IF(INPUT!$N$21="大脇・山下式2021",Calculation!H247,Calculation!H248),""),"")</f>
        <v>5.2</v>
      </c>
      <c r="I37" s="1015"/>
      <c r="J37" s="1014">
        <f>IF(INPUT!E51&lt;&gt;"",IF(INPUT!$N$21&lt;&gt;"",IF(INPUT!$N$21="大脇・山下式2021",Calculation!I247,Calculation!I248),""),"")</f>
        <v>5.2</v>
      </c>
      <c r="K37" s="1015"/>
      <c r="L37" s="1014">
        <f>IF(INPUT!E51&lt;&gt;"",IF(INPUT!$N$21&lt;&gt;"",IF(INPUT!$N$21="大脇・山下式2021",Calculation!J247,Calculation!J248),""),"")</f>
        <v>5.2</v>
      </c>
      <c r="M37" s="1015"/>
      <c r="N37" s="248"/>
      <c r="O37" s="248"/>
      <c r="P37" s="413" t="s">
        <v>563</v>
      </c>
      <c r="Q37" s="248"/>
      <c r="R37" s="248"/>
      <c r="S37" s="248"/>
      <c r="T37" s="248"/>
      <c r="U37" s="248"/>
      <c r="V37" s="248"/>
      <c r="W37" s="248"/>
      <c r="X37" s="248"/>
      <c r="Y37" s="248"/>
      <c r="Z37" s="248"/>
      <c r="AA37" s="248"/>
      <c r="AB37" s="248"/>
      <c r="AC37" s="248"/>
      <c r="AD37" s="248"/>
      <c r="AE37" s="248"/>
      <c r="AF37" s="248"/>
      <c r="AG37" s="249"/>
      <c r="AJ37" s="7" t="s">
        <v>649</v>
      </c>
      <c r="AK37" s="413" t="s">
        <v>663</v>
      </c>
      <c r="AM37" s="7"/>
      <c r="AN37" s="7"/>
      <c r="AO37" s="7"/>
      <c r="AP37" s="7"/>
    </row>
    <row r="38" spans="1:42" ht="18" customHeight="1" x14ac:dyDescent="0.2">
      <c r="A38" s="246"/>
      <c r="B38" s="1024" t="s">
        <v>610</v>
      </c>
      <c r="C38" s="1025"/>
      <c r="D38" s="1025"/>
      <c r="E38" s="331" t="s">
        <v>15</v>
      </c>
      <c r="F38" s="1005" t="str">
        <f>IF(F$35&lt;&gt;"",IF(F$32&lt;&gt;"",IF(F26&lt;&gt;"",IF(INPUT!$N$21="大脇・山下式2021",ROUND(F$18,1)-ROUND(F26,1)+ROUND(F$33,1)+ROUND(F$34,1)-ROUND(F$36,1)+ROUND(F$37,1)+ROUND(F$31,1)+152,ROUND(F$18,1)-ROUND(F26,1)+ROUND(F$33,1)+ROUND(F$34,1)-ROUND(F$36,1)+ROUND(F$37,1)+152),""),""),"")</f>
        <v/>
      </c>
      <c r="G38" s="1006"/>
      <c r="H38" s="1007" t="str">
        <f>IF(H$35&lt;&gt;"",IF(H$32&lt;&gt;"",IF(H26&lt;&gt;"",IF(INPUT!$N$21="大脇・山下式2021",ROUND(H$18,1)-ROUND(H26,1)+ROUND(H$33,1)+ROUND(H$34,1)-ROUND(H$36,1)+ROUND(H$37,1)+ROUND(H$31,1)+152,ROUND(H$18,1)-ROUND(H26,1)+ROUND(H$33,1)+ROUND(H$34,1)-ROUND(H$36,1)+ROUND(H$37,1)+152),""),""),"")</f>
        <v/>
      </c>
      <c r="I38" s="1008"/>
      <c r="J38" s="1005" t="str">
        <f>IF(J$35&lt;&gt;"",IF(J$32&lt;&gt;"",IF(J26&lt;&gt;"",IF(INPUT!$N$21="大脇・山下式2021",ROUND(J$18,1)-ROUND(J26,1)+ROUND(J$33,1)+ROUND(J$34,1)-ROUND(J$36,1)+ROUND(J$37,1)+ROUND(J$31,1)+152,ROUND(J$18,1)-ROUND(J26,1)+ROUND(J$33,1)+ROUND(J$34,1)-ROUND(J$36,1)+ROUND(J$37,1)+152),""),""),"")</f>
        <v/>
      </c>
      <c r="K38" s="1008"/>
      <c r="L38" s="1005" t="str">
        <f>IF(L$35&lt;&gt;"",IF(L$32&lt;&gt;"",IF(L26&lt;&gt;"",IF(INPUT!$N$21="大脇・山下式2021",ROUND(L$18,1)-ROUND(L26,1)+ROUND(L$33,1)+ROUND(L$34,1)-ROUND(L$36,1)+ROUND(L$37,1)+ROUND(L$31,1)+152,ROUND(L$18,1)-ROUND(L26,1)+ROUND(L$33,1)+ROUND(L$34,1)-ROUND(L$36,1)+ROUND(L$37,1)+152),""),""),"")</f>
        <v/>
      </c>
      <c r="M38" s="1008"/>
      <c r="N38" s="248"/>
      <c r="O38" s="248"/>
      <c r="P38" s="268" t="s">
        <v>626</v>
      </c>
      <c r="Q38" s="248"/>
      <c r="R38" s="248"/>
      <c r="S38" s="248"/>
      <c r="T38" s="248"/>
      <c r="U38" s="248"/>
      <c r="V38" s="248"/>
      <c r="W38" s="248"/>
      <c r="X38" s="248"/>
      <c r="Y38" s="248"/>
      <c r="Z38" s="248"/>
      <c r="AA38" s="248"/>
      <c r="AB38" s="248"/>
      <c r="AC38" s="248"/>
      <c r="AD38" s="248"/>
      <c r="AE38" s="248"/>
      <c r="AF38" s="248"/>
      <c r="AG38" s="249"/>
      <c r="AJ38" s="7" t="s">
        <v>650</v>
      </c>
      <c r="AK38" s="413" t="s">
        <v>664</v>
      </c>
      <c r="AM38" s="7"/>
      <c r="AN38" s="7"/>
      <c r="AO38" s="7"/>
      <c r="AP38" s="7"/>
    </row>
    <row r="39" spans="1:42" ht="18" customHeight="1" x14ac:dyDescent="0.2">
      <c r="A39" s="246"/>
      <c r="B39" s="1026"/>
      <c r="C39" s="1027"/>
      <c r="D39" s="1027"/>
      <c r="E39" s="429" t="s">
        <v>40</v>
      </c>
      <c r="F39" s="971" t="str">
        <f>IF(F$35&lt;&gt;"",IF(F$32&lt;&gt;"",IF(F27&lt;&gt;"",IF(INPUT!$N$21="大脇・山下式2021",ROUND(F$18,1)-ROUND(F27,1)+ROUND(F$33,1)+ROUND(F$34,1)-ROUND(F$36,1)+ROUND(F$37,1)+ROUND(F$31,1)+152,ROUND(F$18,1)-ROUND(F27,1)+ROUND(F$33,1)+ROUND(F$34,1)-ROUND(F$36,1)+ROUND(F$37,1)+152),""),""),"")</f>
        <v/>
      </c>
      <c r="G39" s="970"/>
      <c r="H39" s="969" t="str">
        <f>IF(H$35&lt;&gt;"",IF(H$32&lt;&gt;"",IF(H27&lt;&gt;"",IF(INPUT!$N$21="大脇・山下式2021",ROUND(H$18,1)-ROUND(H27,1)+ROUND(H$33,1)+ROUND(H$34,1)-ROUND(H$36,1)+ROUND(H$37,1)+ROUND(H$31,1)+152,ROUND(H$18,1)-ROUND(H27,1)+ROUND(H$33,1)+ROUND(H$34,1)-ROUND(H$36,1)+ROUND(H$37,1)+152),""),""),"")</f>
        <v/>
      </c>
      <c r="I39" s="1009"/>
      <c r="J39" s="971" t="str">
        <f>IF(J$35&lt;&gt;"",IF(J$32&lt;&gt;"",IF(J27&lt;&gt;"",IF(INPUT!$N$21="大脇・山下式2021",ROUND(J$18,1)-ROUND(J27,1)+ROUND(J$33,1)+ROUND(J$34,1)-ROUND(J$36,1)+ROUND(J$37,1)+ROUND(J$31,1)+152,ROUND(J$18,1)-ROUND(J27,1)+ROUND(J$33,1)+ROUND(J$34,1)-ROUND(J$36,1)+ROUND(J$37,1)+152),""),""),"")</f>
        <v/>
      </c>
      <c r="K39" s="1009"/>
      <c r="L39" s="971" t="str">
        <f>IF(L$35&lt;&gt;"",IF(L$32&lt;&gt;"",IF(L27&lt;&gt;"",IF(INPUT!$N$21="大脇・山下式2021",ROUND(L$18,1)-ROUND(L27,1)+ROUND(L$33,1)+ROUND(L$34,1)-ROUND(L$36,1)+ROUND(L$37,1)+ROUND(L$31,1)+152,ROUND(L$18,1)-ROUND(L27,1)+ROUND(L$33,1)+ROUND(L$34,1)-ROUND(L$36,1)+ROUND(L$37,1)+152),""),""),"")</f>
        <v/>
      </c>
      <c r="M39" s="1009"/>
      <c r="N39" s="248"/>
      <c r="O39" s="248"/>
      <c r="P39" s="268" t="s">
        <v>436</v>
      </c>
      <c r="Q39" s="248"/>
      <c r="R39" s="248"/>
      <c r="S39" s="248"/>
      <c r="T39" s="248"/>
      <c r="U39" s="248"/>
      <c r="V39" s="248"/>
      <c r="W39" s="248"/>
      <c r="X39" s="248"/>
      <c r="Y39" s="248"/>
      <c r="Z39" s="248"/>
      <c r="AA39" s="248"/>
      <c r="AB39" s="248"/>
      <c r="AC39" s="248"/>
      <c r="AD39" s="248"/>
      <c r="AE39" s="248"/>
      <c r="AF39" s="248"/>
      <c r="AG39" s="249"/>
      <c r="AI39" s="6"/>
      <c r="AJ39" s="7" t="s">
        <v>651</v>
      </c>
      <c r="AK39" s="413" t="s">
        <v>653</v>
      </c>
      <c r="AM39" s="7"/>
      <c r="AN39" s="7"/>
      <c r="AO39" s="7"/>
      <c r="AP39" s="7"/>
    </row>
    <row r="40" spans="1:42" ht="18" customHeight="1" x14ac:dyDescent="0.2">
      <c r="A40" s="246"/>
      <c r="B40" s="1026"/>
      <c r="C40" s="1027"/>
      <c r="D40" s="1027"/>
      <c r="E40" s="429" t="s">
        <v>41</v>
      </c>
      <c r="F40" s="971" t="str">
        <f>IF(F$35&lt;&gt;"",IF(F$32&lt;&gt;"",IF(F28&lt;&gt;"",IF(INPUT!$N$21="大脇・山下式2021",ROUND(F$18,1)-ROUND(F28,1)+ROUND(F$33,1)+ROUND(F$34,1)-ROUND(F$36,1)+ROUND(F$37,1)+ROUND(F$31,1)+152,ROUND(F$18,1)-ROUND(F28,1)+ROUND(F$33,1)+ROUND(F$34,1)-ROUND(F$36,1)+ROUND(F$37,1)+152),""),""),"")</f>
        <v/>
      </c>
      <c r="G40" s="970"/>
      <c r="H40" s="969" t="str">
        <f>IF(H$35&lt;&gt;"",IF(H$32&lt;&gt;"",IF(H28&lt;&gt;"",IF(INPUT!$N$21="大脇・山下式2021",ROUND(H$18,1)-ROUND(H28,1)+ROUND(H$33,1)+ROUND(H$34,1)-ROUND(H$36,1)+ROUND(H$37,1)+ROUND(H$31,1)+152,ROUND(H$18,1)-ROUND(H28,1)+ROUND(H$33,1)+ROUND(H$34,1)-ROUND(H$36,1)+ROUND(H$37,1)+152),""),""),"")</f>
        <v/>
      </c>
      <c r="I40" s="1009"/>
      <c r="J40" s="971" t="str">
        <f>IF(J$35&lt;&gt;"",IF(J$32&lt;&gt;"",IF(J28&lt;&gt;"",IF(INPUT!$N$21="大脇・山下式2021",ROUND(J$18,1)-ROUND(J28,1)+ROUND(J$33,1)+ROUND(J$34,1)-ROUND(J$36,1)+ROUND(J$37,1)+ROUND(J$31,1)+152,ROUND(J$18,1)-ROUND(J28,1)+ROUND(J$33,1)+ROUND(J$34,1)-ROUND(J$36,1)+ROUND(J$37,1)+152),""),""),"")</f>
        <v/>
      </c>
      <c r="K40" s="1009"/>
      <c r="L40" s="971" t="str">
        <f>IF(L$35&lt;&gt;"",IF(L$32&lt;&gt;"",IF(L28&lt;&gt;"",IF(INPUT!$N$21="大脇・山下式2021",ROUND(L$18,1)-ROUND(L28,1)+ROUND(L$33,1)+ROUND(L$34,1)-ROUND(L$36,1)+ROUND(L$37,1)+ROUND(L$31,1)+152,ROUND(L$18,1)-ROUND(L28,1)+ROUND(L$33,1)+ROUND(L$34,1)-ROUND(L$36,1)+ROUND(L$37,1)+152),""),""),"")</f>
        <v/>
      </c>
      <c r="M40" s="1009"/>
      <c r="N40" s="248"/>
      <c r="O40" s="248"/>
      <c r="P40" s="268" t="s">
        <v>435</v>
      </c>
      <c r="Q40" s="248"/>
      <c r="R40" s="248"/>
      <c r="S40" s="248"/>
      <c r="T40" s="248"/>
      <c r="U40" s="248"/>
      <c r="V40" s="248"/>
      <c r="W40" s="248"/>
      <c r="X40" s="248"/>
      <c r="Y40" s="248"/>
      <c r="Z40" s="248"/>
      <c r="AA40" s="248"/>
      <c r="AB40" s="248"/>
      <c r="AC40" s="248"/>
      <c r="AD40" s="248"/>
      <c r="AE40" s="248"/>
      <c r="AF40" s="248"/>
      <c r="AG40" s="249"/>
      <c r="AJ40" s="7" t="s">
        <v>652</v>
      </c>
      <c r="AK40" s="7" t="s">
        <v>648</v>
      </c>
      <c r="AM40" s="7"/>
      <c r="AN40" s="7"/>
      <c r="AO40" s="7"/>
      <c r="AP40" s="7"/>
    </row>
    <row r="41" spans="1:42" ht="18" customHeight="1" x14ac:dyDescent="0.2">
      <c r="A41" s="246"/>
      <c r="B41" s="1026"/>
      <c r="C41" s="1027"/>
      <c r="D41" s="1027"/>
      <c r="E41" s="429" t="s">
        <v>118</v>
      </c>
      <c r="F41" s="971" t="str">
        <f>IF(F$35&lt;&gt;"",IF(F$32&lt;&gt;"",IF(F29&lt;&gt;"",IF(INPUT!$N$21="大脇・山下式2021",ROUND(F$18,1)-ROUND(F29,1)+ROUND(F$33,1)+ROUND(F$34,1)-ROUND(F$36,1)+ROUND(F$37,1)+ROUND(F$31,1)+152,ROUND(F$18,1)-ROUND(F29,1)+ROUND(F$33,1)+ROUND(F$34,1)-ROUND(F$36,1)+ROUND(F$37,1)+152),""),""),"")</f>
        <v/>
      </c>
      <c r="G41" s="970"/>
      <c r="H41" s="969" t="str">
        <f>IF(H$35&lt;&gt;"",IF(H$32&lt;&gt;"",IF(H29&lt;&gt;"",IF(INPUT!$N$21="大脇・山下式2021",ROUND(H$18,1)-ROUND(H29,1)+ROUND(H$33,1)+ROUND(H$34,1)-ROUND(H$36,1)+ROUND(H$37,1)+ROUND(H$31,1)+152,ROUND(H$18,1)-ROUND(H29,1)+ROUND(H$33,1)+ROUND(H$34,1)-ROUND(H$36,1)+ROUND(H$37,1)+152),""),""),"")</f>
        <v/>
      </c>
      <c r="I41" s="1009"/>
      <c r="J41" s="971" t="str">
        <f>IF(J$35&lt;&gt;"",IF(J$32&lt;&gt;"",IF(J29&lt;&gt;"",IF(INPUT!$N$21="大脇・山下式2021",ROUND(J$18,1)-ROUND(J29,1)+ROUND(J$33,1)+ROUND(J$34,1)-ROUND(J$36,1)+ROUND(J$37,1)+ROUND(J$31,1)+152,ROUND(J$18,1)-ROUND(J29,1)+ROUND(J$33,1)+ROUND(J$34,1)-ROUND(J$36,1)+ROUND(J$37,1)+152),""),""),"")</f>
        <v/>
      </c>
      <c r="K41" s="1009"/>
      <c r="L41" s="971" t="str">
        <f>IF(L$35&lt;&gt;"",IF(L$32&lt;&gt;"",IF(L29&lt;&gt;"",IF(INPUT!$N$21="大脇・山下式2021",ROUND(L$18,1)-ROUND(L29,1)+ROUND(L$33,1)+ROUND(L$34,1)-ROUND(L$36,1)+ROUND(L$37,1)+ROUND(L$31,1)+152,ROUND(L$18,1)-ROUND(L29,1)+ROUND(L$33,1)+ROUND(L$34,1)-ROUND(L$36,1)+ROUND(L$37,1)+152),""),""),"")</f>
        <v/>
      </c>
      <c r="M41" s="1009"/>
      <c r="N41" s="248"/>
      <c r="O41" s="248"/>
      <c r="P41" s="268" t="s">
        <v>564</v>
      </c>
      <c r="Q41" s="248"/>
      <c r="R41" s="248"/>
      <c r="S41" s="248"/>
      <c r="T41" s="248"/>
      <c r="U41" s="248"/>
      <c r="V41" s="248"/>
      <c r="W41" s="248"/>
      <c r="X41" s="248"/>
      <c r="Y41" s="248"/>
      <c r="Z41" s="248"/>
      <c r="AA41" s="248"/>
      <c r="AB41" s="248"/>
      <c r="AC41" s="248"/>
      <c r="AD41" s="248"/>
      <c r="AE41" s="248"/>
      <c r="AF41" s="248"/>
      <c r="AG41" s="249"/>
    </row>
    <row r="42" spans="1:42" ht="18" customHeight="1" x14ac:dyDescent="0.2">
      <c r="A42" s="246"/>
      <c r="B42" s="1028"/>
      <c r="C42" s="1029"/>
      <c r="D42" s="1029"/>
      <c r="E42" s="430" t="s">
        <v>43</v>
      </c>
      <c r="F42" s="1010" t="str">
        <f>IF(F$35&lt;&gt;"",IF(F$32&lt;&gt;"",IF(F30&lt;&gt;"",IF(INPUT!$N$21="大脇・山下式2021",ROUND(F$18,1)-ROUND(F30,1)+ROUND(F$33,1)+ROUND(F$34,1)-ROUND(F$36,1)+ROUND(F$37,1)+ROUND(F$31,1)+152,ROUND(F$18,1)-ROUND(F30,1)+ROUND(F$33,1)+ROUND(F$34,1)-ROUND(F$36,1)+ROUND(F$37,1)+152),""),""),"")</f>
        <v/>
      </c>
      <c r="G42" s="1011"/>
      <c r="H42" s="1012" t="str">
        <f>IF(H$35&lt;&gt;"",IF(H$32&lt;&gt;"",IF(H30&lt;&gt;"",IF(INPUT!$N$21="大脇・山下式2021",ROUND(H$18,1)-ROUND(H30,1)+ROUND(H$33,1)+ROUND(H$34,1)-ROUND(H$36,1)+ROUND(H$37,1)+ROUND(H$31,1)+152,ROUND(H$18,1)-ROUND(H30,1)+ROUND(H$33,1)+ROUND(H$34,1)-ROUND(H$36,1)+ROUND(H$37,1)+152),""),""),"")</f>
        <v/>
      </c>
      <c r="I42" s="1013"/>
      <c r="J42" s="1010" t="str">
        <f>IF(J$35&lt;&gt;"",IF(J$32&lt;&gt;"",IF(J30&lt;&gt;"",IF(INPUT!$N$21="大脇・山下式2021",ROUND(J$18,1)-ROUND(J30,1)+ROUND(J$33,1)+ROUND(J$34,1)-ROUND(J$36,1)+ROUND(J$37,1)+ROUND(J$31,1)+152,ROUND(J$18,1)-ROUND(J30,1)+ROUND(J$33,1)+ROUND(J$34,1)-ROUND(J$36,1)+ROUND(J$37,1)+152),""),""),"")</f>
        <v/>
      </c>
      <c r="K42" s="1013"/>
      <c r="L42" s="1010" t="str">
        <f>IF(L$35&lt;&gt;"",IF(L$32&lt;&gt;"",IF(L30&lt;&gt;"",IF(INPUT!$N$21="大脇・山下式2021",ROUND(L$18,1)-ROUND(L30,1)+ROUND(L$33,1)+ROUND(L$34,1)-ROUND(L$36,1)+ROUND(L$37,1)+ROUND(L$31,1)+152,ROUND(L$18,1)-ROUND(L30,1)+ROUND(L$33,1)+ROUND(L$34,1)-ROUND(L$36,1)+ROUND(L$37,1)+152),""),""),"")</f>
        <v/>
      </c>
      <c r="M42" s="1013"/>
      <c r="N42" s="248"/>
      <c r="O42" s="248"/>
      <c r="P42" s="268" t="s">
        <v>467</v>
      </c>
      <c r="Q42" s="248"/>
      <c r="R42" s="248"/>
      <c r="S42" s="248"/>
      <c r="T42" s="248"/>
      <c r="U42" s="248"/>
      <c r="V42" s="248"/>
      <c r="W42" s="248"/>
      <c r="X42" s="248"/>
      <c r="Y42" s="248"/>
      <c r="Z42" s="248"/>
      <c r="AA42" s="248"/>
      <c r="AB42" s="248"/>
      <c r="AC42" s="248"/>
      <c r="AD42" s="248"/>
      <c r="AE42" s="248"/>
      <c r="AF42" s="248"/>
      <c r="AG42" s="249"/>
    </row>
    <row r="43" spans="1:42" ht="18" customHeight="1" x14ac:dyDescent="0.2">
      <c r="A43" s="246"/>
      <c r="B43" s="1031" t="s">
        <v>298</v>
      </c>
      <c r="C43" s="1032"/>
      <c r="D43" s="1032"/>
      <c r="E43" s="1032"/>
      <c r="F43" s="1033" t="str">
        <f>IF(Calculation!Z247="OK",IF(COUNT(F38:F42)&gt;=3,ROUND(AVERAGE(F38:F42),0),""),"")</f>
        <v/>
      </c>
      <c r="G43" s="1034"/>
      <c r="H43" s="1035" t="str">
        <f>IF(Calculation!Z247="OK",IF(COUNT(H38:I42)&gt;=3,ROUND(AVERAGE(H38:I42),0),""),"")</f>
        <v/>
      </c>
      <c r="I43" s="1035"/>
      <c r="J43" s="1036" t="str">
        <f>IF(Calculation!Z247="OK",IF(COUNT(J38:K42)&gt;=3,ROUND(AVERAGE(J38:K42),0),""),"")</f>
        <v/>
      </c>
      <c r="K43" s="1037"/>
      <c r="L43" s="1036" t="str">
        <f>IF(Calculation!Z247="OK",IF(COUNT(L38:M42)&gt;=3,ROUND(AVERAGE(L38:M42),0),""),"")</f>
        <v/>
      </c>
      <c r="M43" s="1037"/>
      <c r="N43" s="248"/>
      <c r="O43" s="248"/>
      <c r="P43" s="268" t="s">
        <v>565</v>
      </c>
      <c r="Q43" s="248"/>
      <c r="R43" s="248"/>
      <c r="S43" s="248"/>
      <c r="T43" s="248"/>
      <c r="U43" s="248"/>
      <c r="V43" s="248"/>
      <c r="W43" s="248"/>
      <c r="X43" s="248"/>
      <c r="Y43" s="248"/>
      <c r="Z43" s="248"/>
      <c r="AA43" s="248"/>
      <c r="AB43" s="248"/>
      <c r="AC43" s="248"/>
      <c r="AD43" s="248"/>
      <c r="AE43" s="248"/>
      <c r="AF43" s="248"/>
      <c r="AG43" s="249"/>
    </row>
    <row r="44" spans="1:42" ht="19.5" customHeight="1" x14ac:dyDescent="0.2">
      <c r="A44" s="246"/>
      <c r="B44" s="1038" t="s">
        <v>432</v>
      </c>
      <c r="C44" s="1039"/>
      <c r="D44" s="1039"/>
      <c r="E44" s="1039"/>
      <c r="F44" s="1040" t="str">
        <f>IF(F43&lt;&gt;"",IF(Calculation!Z247="OK",IF(F43&lt;&gt;"",MAX(ROUNDUP(F43-23,0),ROUNDUP(H43-13,0),ROUNDUP(J43-6,0),ROUNDUP(L43,0)),""),"NG"),"")</f>
        <v/>
      </c>
      <c r="G44" s="1041"/>
      <c r="H44" s="1041"/>
      <c r="I44" s="1041"/>
      <c r="J44" s="1041"/>
      <c r="K44" s="1041"/>
      <c r="L44" s="1041"/>
      <c r="M44" s="1042"/>
      <c r="N44" s="248"/>
      <c r="O44" s="248"/>
      <c r="P44" s="268" t="s">
        <v>566</v>
      </c>
      <c r="Q44" s="248"/>
      <c r="R44" s="248"/>
      <c r="S44" s="248"/>
      <c r="T44" s="248"/>
      <c r="U44" s="248"/>
      <c r="V44" s="248"/>
      <c r="W44" s="248"/>
      <c r="X44" s="248"/>
      <c r="Y44" s="248"/>
      <c r="Z44" s="248"/>
      <c r="AA44" s="248"/>
      <c r="AB44" s="248"/>
      <c r="AC44" s="248"/>
      <c r="AD44" s="248"/>
      <c r="AE44" s="248"/>
      <c r="AF44" s="248"/>
      <c r="AG44" s="249"/>
    </row>
    <row r="45" spans="1:42" ht="16.899999999999999" customHeight="1" x14ac:dyDescent="0.15">
      <c r="A45" s="246"/>
      <c r="B45" s="1105"/>
      <c r="C45" s="1105"/>
      <c r="D45" s="1105"/>
      <c r="E45" s="1105"/>
      <c r="F45" s="1105"/>
      <c r="G45" s="1105"/>
      <c r="H45" s="1105"/>
      <c r="I45" s="1105"/>
      <c r="J45" s="1105"/>
      <c r="K45" s="1105"/>
      <c r="L45" s="1105"/>
      <c r="M45" s="1105"/>
      <c r="N45" s="248"/>
      <c r="O45" s="248"/>
      <c r="P45" s="8"/>
      <c r="Q45" s="8"/>
      <c r="R45" s="8"/>
      <c r="S45" s="8"/>
      <c r="T45" s="8"/>
      <c r="U45" s="8"/>
      <c r="V45" s="8"/>
      <c r="W45" s="8"/>
      <c r="X45" s="248"/>
      <c r="Y45" s="248"/>
      <c r="Z45" s="248"/>
      <c r="AA45" s="248"/>
      <c r="AB45" s="1030" t="str">
        <f>INPUT!AD55</f>
        <v>音・熱環境研究会 ver3.3</v>
      </c>
      <c r="AC45" s="1030"/>
      <c r="AD45" s="1030"/>
      <c r="AE45" s="1030"/>
      <c r="AF45" s="1030"/>
      <c r="AG45" s="249"/>
    </row>
    <row r="46" spans="1:42" ht="6.75" customHeight="1" thickBot="1" x14ac:dyDescent="0.25">
      <c r="A46" s="271"/>
      <c r="B46" s="272"/>
      <c r="C46" s="272"/>
      <c r="D46" s="272"/>
      <c r="E46" s="272"/>
      <c r="F46" s="273"/>
      <c r="G46" s="273"/>
      <c r="H46" s="273"/>
      <c r="I46" s="273"/>
      <c r="J46" s="273"/>
      <c r="K46" s="273"/>
      <c r="L46" s="273"/>
      <c r="M46" s="273"/>
      <c r="N46" s="274"/>
      <c r="O46" s="274"/>
      <c r="P46" s="274"/>
      <c r="Q46" s="274"/>
      <c r="R46" s="274"/>
      <c r="S46" s="274"/>
      <c r="T46" s="274"/>
      <c r="U46" s="274"/>
      <c r="V46" s="274"/>
      <c r="W46" s="274"/>
      <c r="X46" s="274"/>
      <c r="Y46" s="274"/>
      <c r="Z46" s="274"/>
      <c r="AA46" s="274"/>
      <c r="AB46" s="274"/>
      <c r="AC46" s="274"/>
      <c r="AD46" s="274"/>
      <c r="AE46" s="274"/>
      <c r="AF46" s="274"/>
      <c r="AG46" s="275"/>
    </row>
  </sheetData>
  <sheetProtection password="B87F" sheet="1" objects="1" scenarios="1"/>
  <protectedRanges>
    <protectedRange sqref="AE3" name="範囲1"/>
  </protectedRanges>
  <mergeCells count="162">
    <mergeCell ref="B12:C12"/>
    <mergeCell ref="F9:G9"/>
    <mergeCell ref="B45:M45"/>
    <mergeCell ref="AN15:AO15"/>
    <mergeCell ref="F18:G18"/>
    <mergeCell ref="H18:I18"/>
    <mergeCell ref="J18:K18"/>
    <mergeCell ref="L18:M18"/>
    <mergeCell ref="B17:E17"/>
    <mergeCell ref="L21:M21"/>
    <mergeCell ref="F22:G22"/>
    <mergeCell ref="H22:I22"/>
    <mergeCell ref="J22:K22"/>
    <mergeCell ref="L22:M22"/>
    <mergeCell ref="F20:G20"/>
    <mergeCell ref="H20:I20"/>
    <mergeCell ref="J20:K20"/>
    <mergeCell ref="L20:M20"/>
    <mergeCell ref="AN18:AO18"/>
    <mergeCell ref="F21:G21"/>
    <mergeCell ref="H21:I21"/>
    <mergeCell ref="J21:K21"/>
    <mergeCell ref="F19:G19"/>
    <mergeCell ref="H19:I19"/>
    <mergeCell ref="B2:M2"/>
    <mergeCell ref="P2:AF2"/>
    <mergeCell ref="AE3:AF3"/>
    <mergeCell ref="B5:D5"/>
    <mergeCell ref="AN14:AO14"/>
    <mergeCell ref="F17:G17"/>
    <mergeCell ref="H17:I17"/>
    <mergeCell ref="J17:K17"/>
    <mergeCell ref="L17:M17"/>
    <mergeCell ref="E12:F12"/>
    <mergeCell ref="B13:C13"/>
    <mergeCell ref="B14:C14"/>
    <mergeCell ref="H12:M12"/>
    <mergeCell ref="AN16:AO16"/>
    <mergeCell ref="B7:D7"/>
    <mergeCell ref="B8:C8"/>
    <mergeCell ref="B4:M4"/>
    <mergeCell ref="F14:G14"/>
    <mergeCell ref="AN17:AO17"/>
    <mergeCell ref="F5:M5"/>
    <mergeCell ref="F6:M6"/>
    <mergeCell ref="F7:M7"/>
    <mergeCell ref="B9:C9"/>
    <mergeCell ref="B10:C10"/>
    <mergeCell ref="J19:K19"/>
    <mergeCell ref="L19:M19"/>
    <mergeCell ref="J23:K23"/>
    <mergeCell ref="L23:M23"/>
    <mergeCell ref="L27:M27"/>
    <mergeCell ref="F28:G28"/>
    <mergeCell ref="H28:I28"/>
    <mergeCell ref="J28:K28"/>
    <mergeCell ref="L28:M28"/>
    <mergeCell ref="F27:G27"/>
    <mergeCell ref="H27:I27"/>
    <mergeCell ref="J27:K27"/>
    <mergeCell ref="F25:G25"/>
    <mergeCell ref="H25:I25"/>
    <mergeCell ref="J25:K25"/>
    <mergeCell ref="L25:M25"/>
    <mergeCell ref="F24:G24"/>
    <mergeCell ref="H24:I24"/>
    <mergeCell ref="J24:K24"/>
    <mergeCell ref="L24:M24"/>
    <mergeCell ref="H23:I23"/>
    <mergeCell ref="F37:G37"/>
    <mergeCell ref="H37:I37"/>
    <mergeCell ref="J37:K37"/>
    <mergeCell ref="L37:M37"/>
    <mergeCell ref="F36:G36"/>
    <mergeCell ref="H36:I36"/>
    <mergeCell ref="J36:K36"/>
    <mergeCell ref="L36:M36"/>
    <mergeCell ref="F35:G35"/>
    <mergeCell ref="H35:I35"/>
    <mergeCell ref="J35:K35"/>
    <mergeCell ref="L35:M35"/>
    <mergeCell ref="F34:G34"/>
    <mergeCell ref="H34:I34"/>
    <mergeCell ref="J34:K34"/>
    <mergeCell ref="L34:M34"/>
    <mergeCell ref="F33:G33"/>
    <mergeCell ref="H33:I33"/>
    <mergeCell ref="J33:K33"/>
    <mergeCell ref="L33:M33"/>
    <mergeCell ref="F32:G32"/>
    <mergeCell ref="B11:C11"/>
    <mergeCell ref="B6:D6"/>
    <mergeCell ref="J11:M11"/>
    <mergeCell ref="L39:M39"/>
    <mergeCell ref="F40:G40"/>
    <mergeCell ref="F38:G38"/>
    <mergeCell ref="H38:I38"/>
    <mergeCell ref="J38:K38"/>
    <mergeCell ref="L38:M38"/>
    <mergeCell ref="F39:G39"/>
    <mergeCell ref="H39:I39"/>
    <mergeCell ref="J39:K39"/>
    <mergeCell ref="E11:F11"/>
    <mergeCell ref="D8:G8"/>
    <mergeCell ref="H9:I9"/>
    <mergeCell ref="H10:I10"/>
    <mergeCell ref="H11:I11"/>
    <mergeCell ref="H8:I8"/>
    <mergeCell ref="B26:D30"/>
    <mergeCell ref="B33:E33"/>
    <mergeCell ref="B32:E32"/>
    <mergeCell ref="B34:E34"/>
    <mergeCell ref="H32:I32"/>
    <mergeCell ref="J32:K32"/>
    <mergeCell ref="F43:G43"/>
    <mergeCell ref="H43:I43"/>
    <mergeCell ref="J43:K43"/>
    <mergeCell ref="L43:M43"/>
    <mergeCell ref="F41:G41"/>
    <mergeCell ref="H41:I41"/>
    <mergeCell ref="J41:K41"/>
    <mergeCell ref="L41:M41"/>
    <mergeCell ref="F42:G42"/>
    <mergeCell ref="H42:I42"/>
    <mergeCell ref="J42:K42"/>
    <mergeCell ref="L42:M42"/>
    <mergeCell ref="F31:G31"/>
    <mergeCell ref="H31:I31"/>
    <mergeCell ref="J31:K31"/>
    <mergeCell ref="L31:M31"/>
    <mergeCell ref="F29:G29"/>
    <mergeCell ref="H29:I29"/>
    <mergeCell ref="J29:K29"/>
    <mergeCell ref="L29:M29"/>
    <mergeCell ref="F30:G30"/>
    <mergeCell ref="H30:I30"/>
    <mergeCell ref="J30:K30"/>
    <mergeCell ref="L30:M30"/>
    <mergeCell ref="F10:G10"/>
    <mergeCell ref="B44:E44"/>
    <mergeCell ref="AB45:AF45"/>
    <mergeCell ref="F44:M44"/>
    <mergeCell ref="B16:M16"/>
    <mergeCell ref="H40:I40"/>
    <mergeCell ref="J40:K40"/>
    <mergeCell ref="L40:M40"/>
    <mergeCell ref="B38:D42"/>
    <mergeCell ref="B37:E37"/>
    <mergeCell ref="B43:E43"/>
    <mergeCell ref="B36:E36"/>
    <mergeCell ref="B25:E25"/>
    <mergeCell ref="B20:D24"/>
    <mergeCell ref="B19:E19"/>
    <mergeCell ref="B18:E18"/>
    <mergeCell ref="B35:E35"/>
    <mergeCell ref="L32:M32"/>
    <mergeCell ref="B31:E31"/>
    <mergeCell ref="F26:G26"/>
    <mergeCell ref="H26:I26"/>
    <mergeCell ref="J26:K26"/>
    <mergeCell ref="L26:M26"/>
    <mergeCell ref="F23:G23"/>
  </mergeCells>
  <phoneticPr fontId="2"/>
  <printOptions horizontalCentered="1" verticalCentered="1"/>
  <pageMargins left="0.35433070866141736" right="0.35433070866141736" top="0.27559055118110237" bottom="0.31496062992125984" header="0.31496062992125984" footer="0.39370078740157483"/>
  <pageSetup paperSize="9" scale="6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70C0"/>
  </sheetPr>
  <dimension ref="B1:AK12"/>
  <sheetViews>
    <sheetView workbookViewId="0">
      <selection activeCell="D44" sqref="D44:L63"/>
    </sheetView>
  </sheetViews>
  <sheetFormatPr defaultRowHeight="12.75" x14ac:dyDescent="0.2"/>
  <cols>
    <col min="2" max="31" width="6.7109375" customWidth="1"/>
    <col min="32" max="37" width="6.42578125" customWidth="1"/>
  </cols>
  <sheetData>
    <row r="1" spans="2:37" x14ac:dyDescent="0.2">
      <c r="B1" t="s">
        <v>484</v>
      </c>
      <c r="D1" t="s">
        <v>485</v>
      </c>
    </row>
    <row r="2" spans="2:37" x14ac:dyDescent="0.2">
      <c r="B2" t="s">
        <v>487</v>
      </c>
      <c r="C2" t="s">
        <v>488</v>
      </c>
      <c r="D2" t="s">
        <v>486</v>
      </c>
      <c r="E2" t="s">
        <v>489</v>
      </c>
      <c r="F2" t="s">
        <v>490</v>
      </c>
      <c r="G2" t="s">
        <v>491</v>
      </c>
      <c r="J2" t="s">
        <v>487</v>
      </c>
      <c r="K2" t="s">
        <v>492</v>
      </c>
    </row>
    <row r="3" spans="2:37" x14ac:dyDescent="0.2">
      <c r="B3">
        <f>'Result_重量床衝撃音（範囲設定なし）'!D13</f>
        <v>72</v>
      </c>
      <c r="C3">
        <f>'Result_重量床衝撃音（範囲設定なし）'!J10</f>
        <v>2500</v>
      </c>
      <c r="D3" t="str">
        <f>IF(INPUT!H13=1,"RC",IF(INPUT!H13=4,"RC",IF(INPUT!H13=6,"SVS",IF(INPUT!H13=7,"SVS",""))))</f>
        <v>SVS</v>
      </c>
      <c r="E3">
        <f>'Result_重量床衝撃音（範囲設定なし）'!D9</f>
        <v>140</v>
      </c>
      <c r="F3">
        <f>Result_重量床衝撃音!D10</f>
        <v>146.6322265336799</v>
      </c>
      <c r="G3">
        <f>ROUND(Result_重量床衝撃音!E11/1000,1)</f>
        <v>8</v>
      </c>
      <c r="H3" s="10" t="s">
        <v>493</v>
      </c>
      <c r="I3">
        <f>ROUND(Result_重量床衝撃音!E12/1000,1)</f>
        <v>9</v>
      </c>
      <c r="J3">
        <f>ROUND(Result_重量床衝撃音!D13,1)</f>
        <v>72</v>
      </c>
      <c r="K3">
        <f>ROUND(Result_重量床衝撃音!D14,1)</f>
        <v>9</v>
      </c>
    </row>
    <row r="5" spans="2:37" x14ac:dyDescent="0.2">
      <c r="B5" t="s">
        <v>479</v>
      </c>
      <c r="M5" t="s">
        <v>15</v>
      </c>
      <c r="R5" t="s">
        <v>40</v>
      </c>
      <c r="W5" t="s">
        <v>41</v>
      </c>
      <c r="AB5" t="s">
        <v>42</v>
      </c>
      <c r="AG5" t="s">
        <v>43</v>
      </c>
    </row>
    <row r="6" spans="2:37" x14ac:dyDescent="0.2">
      <c r="B6" t="s">
        <v>386</v>
      </c>
      <c r="C6" t="s">
        <v>12</v>
      </c>
      <c r="D6" t="s">
        <v>51</v>
      </c>
      <c r="E6" t="s">
        <v>13</v>
      </c>
      <c r="F6" t="s">
        <v>14</v>
      </c>
      <c r="M6" t="s">
        <v>386</v>
      </c>
      <c r="N6" t="s">
        <v>12</v>
      </c>
      <c r="O6" t="s">
        <v>51</v>
      </c>
      <c r="P6" t="s">
        <v>13</v>
      </c>
      <c r="Q6" t="s">
        <v>14</v>
      </c>
      <c r="R6" t="s">
        <v>386</v>
      </c>
      <c r="S6" t="s">
        <v>12</v>
      </c>
      <c r="T6" t="s">
        <v>51</v>
      </c>
      <c r="U6" t="s">
        <v>13</v>
      </c>
      <c r="V6" t="s">
        <v>14</v>
      </c>
      <c r="W6" t="s">
        <v>386</v>
      </c>
      <c r="X6" t="s">
        <v>12</v>
      </c>
      <c r="Y6" t="s">
        <v>51</v>
      </c>
      <c r="Z6" t="s">
        <v>13</v>
      </c>
      <c r="AA6" t="s">
        <v>14</v>
      </c>
      <c r="AB6" t="s">
        <v>386</v>
      </c>
      <c r="AC6" t="s">
        <v>12</v>
      </c>
      <c r="AD6" t="s">
        <v>51</v>
      </c>
      <c r="AE6" t="s">
        <v>13</v>
      </c>
      <c r="AF6" t="s">
        <v>14</v>
      </c>
      <c r="AG6" t="s">
        <v>386</v>
      </c>
      <c r="AH6" t="s">
        <v>12</v>
      </c>
      <c r="AI6" t="s">
        <v>51</v>
      </c>
      <c r="AJ6" t="s">
        <v>13</v>
      </c>
      <c r="AK6" t="s">
        <v>14</v>
      </c>
    </row>
    <row r="7" spans="2:37" x14ac:dyDescent="0.2">
      <c r="C7" t="str">
        <f>'Result_重量床衝撃音（範囲設定なし）'!F43</f>
        <v/>
      </c>
      <c r="D7" t="str">
        <f>'Result_重量床衝撃音（範囲設定なし）'!H43</f>
        <v/>
      </c>
      <c r="E7" t="str">
        <f>'Result_重量床衝撃音（範囲設定なし）'!J43</f>
        <v/>
      </c>
      <c r="F7" t="str">
        <f>'Result_重量床衝撃音（範囲設定なし）'!L43</f>
        <v/>
      </c>
      <c r="N7" t="e">
        <f>ROUND('Result_重量床衝撃音（範囲設定なし）'!F38,1)</f>
        <v>#VALUE!</v>
      </c>
      <c r="O7" t="e">
        <f>ROUND('Result_重量床衝撃音（範囲設定なし）'!H38,1)</f>
        <v>#VALUE!</v>
      </c>
      <c r="P7" t="e">
        <f>ROUND('Result_重量床衝撃音（範囲設定なし）'!J38,1)</f>
        <v>#VALUE!</v>
      </c>
      <c r="Q7" t="e">
        <f>ROUND('Result_重量床衝撃音（範囲設定なし）'!L38,1)</f>
        <v>#VALUE!</v>
      </c>
      <c r="S7" t="e">
        <f>ROUND('Result_重量床衝撃音（範囲設定なし）'!F39,1)</f>
        <v>#VALUE!</v>
      </c>
      <c r="T7" t="e">
        <f>ROUND('Result_重量床衝撃音（範囲設定なし）'!H39,1)</f>
        <v>#VALUE!</v>
      </c>
      <c r="U7" t="e">
        <f>ROUND('Result_重量床衝撃音（範囲設定なし）'!J39,1)</f>
        <v>#VALUE!</v>
      </c>
      <c r="V7" t="e">
        <f>ROUND('Result_重量床衝撃音（範囲設定なし）'!L39,1)</f>
        <v>#VALUE!</v>
      </c>
      <c r="X7" t="e">
        <f>ROUND('Result_重量床衝撃音（範囲設定なし）'!F40,1)</f>
        <v>#VALUE!</v>
      </c>
      <c r="Y7" t="e">
        <f>ROUND('Result_重量床衝撃音（範囲設定なし）'!H40,1)</f>
        <v>#VALUE!</v>
      </c>
      <c r="Z7" t="e">
        <f>ROUND('Result_重量床衝撃音（範囲設定なし）'!J40,1)</f>
        <v>#VALUE!</v>
      </c>
      <c r="AA7" t="e">
        <f>ROUND('Result_重量床衝撃音（範囲設定なし）'!L40,1)</f>
        <v>#VALUE!</v>
      </c>
      <c r="AC7" t="e">
        <f>ROUND('Result_重量床衝撃音（範囲設定なし）'!F41,1)</f>
        <v>#VALUE!</v>
      </c>
      <c r="AD7" t="e">
        <f>ROUND('Result_重量床衝撃音（範囲設定なし）'!H41,1)</f>
        <v>#VALUE!</v>
      </c>
      <c r="AE7" t="e">
        <f>ROUND('Result_重量床衝撃音（範囲設定なし）'!J41,1)</f>
        <v>#VALUE!</v>
      </c>
      <c r="AF7" t="e">
        <f>ROUND('Result_重量床衝撃音（範囲設定なし）'!L41,1)</f>
        <v>#VALUE!</v>
      </c>
      <c r="AH7" t="e">
        <f>ROUND('Result_重量床衝撃音（範囲設定なし）'!F42,1)</f>
        <v>#VALUE!</v>
      </c>
      <c r="AI7" t="e">
        <f>ROUND('Result_重量床衝撃音（範囲設定なし）'!H42,1)</f>
        <v>#VALUE!</v>
      </c>
      <c r="AJ7" t="e">
        <f>ROUND('Result_重量床衝撃音（範囲設定なし）'!J42,1)</f>
        <v>#VALUE!</v>
      </c>
      <c r="AK7" t="e">
        <f>ROUND('Result_重量床衝撃音（範囲設定なし）'!L42,1)</f>
        <v>#VALUE!</v>
      </c>
    </row>
    <row r="9" spans="2:37" x14ac:dyDescent="0.2">
      <c r="B9" s="10" t="s">
        <v>483</v>
      </c>
    </row>
    <row r="10" spans="2:37" x14ac:dyDescent="0.2">
      <c r="B10" t="s">
        <v>15</v>
      </c>
      <c r="G10" t="s">
        <v>40</v>
      </c>
      <c r="L10" t="s">
        <v>41</v>
      </c>
      <c r="Q10" t="s">
        <v>42</v>
      </c>
      <c r="V10" t="s">
        <v>43</v>
      </c>
    </row>
    <row r="11" spans="2:37" x14ac:dyDescent="0.2">
      <c r="B11" t="s">
        <v>386</v>
      </c>
      <c r="C11" t="s">
        <v>12</v>
      </c>
      <c r="D11" t="s">
        <v>51</v>
      </c>
      <c r="E11" t="s">
        <v>13</v>
      </c>
      <c r="F11" t="s">
        <v>14</v>
      </c>
      <c r="G11" t="s">
        <v>386</v>
      </c>
      <c r="H11" t="s">
        <v>12</v>
      </c>
      <c r="I11" t="s">
        <v>51</v>
      </c>
      <c r="J11" t="s">
        <v>13</v>
      </c>
      <c r="K11" t="s">
        <v>14</v>
      </c>
      <c r="L11" t="s">
        <v>386</v>
      </c>
      <c r="M11" t="s">
        <v>12</v>
      </c>
      <c r="N11" t="s">
        <v>51</v>
      </c>
      <c r="O11" t="s">
        <v>13</v>
      </c>
      <c r="P11" t="s">
        <v>14</v>
      </c>
      <c r="Q11" t="s">
        <v>386</v>
      </c>
      <c r="R11" t="s">
        <v>12</v>
      </c>
      <c r="S11" t="s">
        <v>51</v>
      </c>
      <c r="T11" t="s">
        <v>13</v>
      </c>
      <c r="U11" t="s">
        <v>14</v>
      </c>
      <c r="V11" t="s">
        <v>386</v>
      </c>
      <c r="W11" t="s">
        <v>12</v>
      </c>
      <c r="X11" t="s">
        <v>51</v>
      </c>
      <c r="Y11" t="s">
        <v>13</v>
      </c>
      <c r="Z11" t="s">
        <v>14</v>
      </c>
    </row>
    <row r="12" spans="2:37" x14ac:dyDescent="0.2">
      <c r="C12" t="str">
        <f>'Result_重量床衝撃音（範囲設定なし）'!F20</f>
        <v/>
      </c>
      <c r="D12" t="str">
        <f>'Result_重量床衝撃音（範囲設定なし）'!H20</f>
        <v/>
      </c>
      <c r="E12" t="str">
        <f>'Result_重量床衝撃音（範囲設定なし）'!J20</f>
        <v/>
      </c>
      <c r="F12" t="str">
        <f>'Result_重量床衝撃音（範囲設定なし）'!L20</f>
        <v/>
      </c>
      <c r="H12" t="str">
        <f>'Result_重量床衝撃音（範囲設定なし）'!F21</f>
        <v/>
      </c>
      <c r="I12" t="str">
        <f>'Result_重量床衝撃音（範囲設定なし）'!H21</f>
        <v/>
      </c>
      <c r="J12" t="str">
        <f>'Result_重量床衝撃音（範囲設定なし）'!J21</f>
        <v/>
      </c>
      <c r="K12" t="str">
        <f>'Result_重量床衝撃音（範囲設定なし）'!L21</f>
        <v/>
      </c>
      <c r="M12">
        <f>'Result_重量床衝撃音（範囲設定なし）'!F22</f>
        <v>1.9383415747557446</v>
      </c>
      <c r="N12">
        <f>'Result_重量床衝撃音（範囲設定なし）'!H22</f>
        <v>0.62189329785146441</v>
      </c>
      <c r="O12">
        <f>'Result_重量床衝撃音（範囲設定なし）'!J22</f>
        <v>0</v>
      </c>
      <c r="P12">
        <f>'Result_重量床衝撃音（範囲設定なし）'!L22</f>
        <v>0</v>
      </c>
      <c r="R12">
        <f>'Result_重量床衝撃音（範囲設定なし）'!F23</f>
        <v>4.6926469489744989</v>
      </c>
      <c r="S12">
        <f>'Result_重量床衝撃音（範囲設定なし）'!H23</f>
        <v>3.3984768035171005</v>
      </c>
      <c r="T12">
        <f>'Result_重量床衝撃音（範囲設定なし）'!J23</f>
        <v>1.954960694261219</v>
      </c>
      <c r="U12">
        <f>'Result_重量床衝撃音（範囲設定なし）'!L23</f>
        <v>0.62189329785146441</v>
      </c>
      <c r="W12">
        <f>'Result_重量床衝撃音（範囲設定なし）'!F24</f>
        <v>0.42441392664335353</v>
      </c>
      <c r="X12">
        <f>'Result_重量床衝撃音（範囲設定なし）'!H24</f>
        <v>0</v>
      </c>
      <c r="Y12">
        <f>'Result_重量床衝撃音（範囲設定なし）'!J24</f>
        <v>0</v>
      </c>
      <c r="Z12">
        <f>'Result_重量床衝撃音（範囲設定なし）'!L24</f>
        <v>0</v>
      </c>
    </row>
  </sheetData>
  <sheetProtection password="9C49" sheet="1" objects="1" scenarios="1"/>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7"/>
    <pageSetUpPr fitToPage="1"/>
  </sheetPr>
  <dimension ref="A1:AK46"/>
  <sheetViews>
    <sheetView showGridLines="0" topLeftCell="A4" zoomScale="85" zoomScaleNormal="85" zoomScaleSheetLayoutView="70" workbookViewId="0">
      <selection activeCell="F25" sqref="F25:G25"/>
    </sheetView>
  </sheetViews>
  <sheetFormatPr defaultColWidth="8.85546875" defaultRowHeight="15.6" customHeight="1" x14ac:dyDescent="0.2"/>
  <cols>
    <col min="1" max="1" width="1.42578125" style="7" customWidth="1"/>
    <col min="2" max="15" width="7.85546875" style="7" customWidth="1"/>
    <col min="16" max="17" width="1.42578125" style="7" customWidth="1"/>
    <col min="18" max="33" width="5.85546875" style="7" customWidth="1"/>
    <col min="34" max="34" width="7.42578125" style="7" customWidth="1"/>
    <col min="35" max="35" width="1.42578125" style="7" customWidth="1"/>
    <col min="36" max="36" width="8.85546875" style="7" customWidth="1"/>
    <col min="37" max="54" width="5.28515625" style="7" customWidth="1"/>
    <col min="55" max="16384" width="8.85546875" style="7"/>
  </cols>
  <sheetData>
    <row r="1" spans="1:35" ht="7.9" customHeight="1" x14ac:dyDescent="0.2">
      <c r="A1" s="243"/>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5"/>
    </row>
    <row r="2" spans="1:35" ht="22.5" customHeight="1" x14ac:dyDescent="0.2">
      <c r="A2" s="246"/>
      <c r="B2" s="938" t="s">
        <v>427</v>
      </c>
      <c r="C2" s="939"/>
      <c r="D2" s="939"/>
      <c r="E2" s="939"/>
      <c r="F2" s="939"/>
      <c r="G2" s="939"/>
      <c r="H2" s="939"/>
      <c r="I2" s="939"/>
      <c r="J2" s="939"/>
      <c r="K2" s="939"/>
      <c r="L2" s="939"/>
      <c r="M2" s="939"/>
      <c r="N2" s="939"/>
      <c r="O2" s="939"/>
      <c r="P2" s="276"/>
      <c r="Q2" s="276"/>
      <c r="R2" s="940">
        <f ca="1">TODAY()</f>
        <v>44951</v>
      </c>
      <c r="S2" s="941"/>
      <c r="T2" s="941"/>
      <c r="U2" s="941"/>
      <c r="V2" s="941"/>
      <c r="W2" s="941"/>
      <c r="X2" s="941"/>
      <c r="Y2" s="941"/>
      <c r="Z2" s="941"/>
      <c r="AA2" s="941"/>
      <c r="AB2" s="941"/>
      <c r="AC2" s="941"/>
      <c r="AD2" s="941"/>
      <c r="AE2" s="941"/>
      <c r="AF2" s="941"/>
      <c r="AG2" s="941"/>
      <c r="AH2" s="942"/>
      <c r="AI2" s="247"/>
    </row>
    <row r="3" spans="1:35" ht="16.899999999999999" customHeight="1" x14ac:dyDescent="0.2">
      <c r="A3" s="246"/>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943"/>
      <c r="AH3" s="943"/>
      <c r="AI3" s="249"/>
    </row>
    <row r="4" spans="1:35" ht="19.5" customHeight="1" x14ac:dyDescent="0.2">
      <c r="A4" s="246"/>
      <c r="B4" s="1087" t="s">
        <v>463</v>
      </c>
      <c r="C4" s="1088"/>
      <c r="D4" s="1088"/>
      <c r="E4" s="1088"/>
      <c r="F4" s="1088"/>
      <c r="G4" s="1088"/>
      <c r="H4" s="1088"/>
      <c r="I4" s="1088"/>
      <c r="J4" s="1088"/>
      <c r="K4" s="1088"/>
      <c r="L4" s="1088"/>
      <c r="M4" s="1088"/>
      <c r="N4" s="1088"/>
      <c r="O4" s="1089"/>
      <c r="P4" s="248"/>
      <c r="Q4" s="248"/>
      <c r="R4" s="250"/>
      <c r="S4" s="250"/>
      <c r="T4" s="250"/>
      <c r="U4" s="250"/>
      <c r="V4" s="250"/>
      <c r="W4" s="250"/>
      <c r="X4" s="250"/>
      <c r="Y4" s="250"/>
      <c r="Z4" s="250"/>
      <c r="AA4" s="250"/>
      <c r="AB4" s="250"/>
      <c r="AC4" s="250"/>
      <c r="AD4" s="250"/>
      <c r="AE4" s="250"/>
      <c r="AF4" s="250"/>
      <c r="AG4" s="250"/>
      <c r="AH4" s="250"/>
      <c r="AI4" s="249"/>
    </row>
    <row r="5" spans="1:35" ht="18.75" customHeight="1" x14ac:dyDescent="0.2">
      <c r="A5" s="246"/>
      <c r="B5" s="947" t="s">
        <v>324</v>
      </c>
      <c r="C5" s="948"/>
      <c r="D5" s="948"/>
      <c r="E5" s="318" t="s">
        <v>438</v>
      </c>
      <c r="F5" s="1092" t="str">
        <f>IF(INPUT!E2&lt;&gt;"",INPUT!E2,"")</f>
        <v/>
      </c>
      <c r="G5" s="1092"/>
      <c r="H5" s="1092"/>
      <c r="I5" s="1092"/>
      <c r="J5" s="1092"/>
      <c r="K5" s="1092"/>
      <c r="L5" s="1092"/>
      <c r="M5" s="1092"/>
      <c r="N5" s="1092"/>
      <c r="O5" s="1093"/>
      <c r="P5" s="248"/>
      <c r="Q5" s="248"/>
      <c r="R5" s="250"/>
      <c r="S5" s="250"/>
      <c r="T5" s="250"/>
      <c r="U5" s="250"/>
      <c r="V5" s="250"/>
      <c r="W5" s="250"/>
      <c r="X5" s="250"/>
      <c r="Y5" s="250"/>
      <c r="Z5" s="250"/>
      <c r="AA5" s="250"/>
      <c r="AB5" s="250"/>
      <c r="AC5" s="250"/>
      <c r="AD5" s="250"/>
      <c r="AE5" s="250"/>
      <c r="AF5" s="250"/>
      <c r="AG5" s="250"/>
      <c r="AH5" s="250"/>
      <c r="AI5" s="249"/>
    </row>
    <row r="6" spans="1:35" ht="18.75" customHeight="1" x14ac:dyDescent="0.2">
      <c r="A6" s="246"/>
      <c r="B6" s="928" t="s">
        <v>325</v>
      </c>
      <c r="C6" s="929"/>
      <c r="D6" s="929"/>
      <c r="E6" s="254" t="s">
        <v>438</v>
      </c>
      <c r="F6" s="1092" t="str">
        <f>IF(INPUT!E3&lt;&gt;"",INPUT!E3,"")</f>
        <v/>
      </c>
      <c r="G6" s="1092"/>
      <c r="H6" s="1092"/>
      <c r="I6" s="1092"/>
      <c r="J6" s="1092"/>
      <c r="K6" s="1092"/>
      <c r="L6" s="1092"/>
      <c r="M6" s="1092"/>
      <c r="N6" s="1092"/>
      <c r="O6" s="1093"/>
      <c r="P6" s="248"/>
      <c r="Q6" s="248"/>
      <c r="R6" s="250"/>
      <c r="S6" s="250"/>
      <c r="T6" s="250"/>
      <c r="U6" s="250"/>
      <c r="V6" s="250"/>
      <c r="W6" s="250"/>
      <c r="X6" s="250"/>
      <c r="Y6" s="250"/>
      <c r="Z6" s="250"/>
      <c r="AA6" s="250"/>
      <c r="AB6" s="250"/>
      <c r="AC6" s="250"/>
      <c r="AD6" s="250"/>
      <c r="AE6" s="250"/>
      <c r="AF6" s="250"/>
      <c r="AG6" s="250"/>
      <c r="AH6" s="250"/>
      <c r="AI6" s="249"/>
    </row>
    <row r="7" spans="1:35" ht="18.75" customHeight="1" x14ac:dyDescent="0.2">
      <c r="A7" s="246"/>
      <c r="B7" s="928" t="s">
        <v>326</v>
      </c>
      <c r="C7" s="929"/>
      <c r="D7" s="929"/>
      <c r="E7" s="254" t="s">
        <v>438</v>
      </c>
      <c r="F7" s="1092" t="str">
        <f>IF(INPUT!E4&lt;&gt;"",INPUT!E4,"")</f>
        <v/>
      </c>
      <c r="G7" s="1092"/>
      <c r="H7" s="1092"/>
      <c r="I7" s="1092"/>
      <c r="J7" s="1092"/>
      <c r="K7" s="1092"/>
      <c r="L7" s="1092"/>
      <c r="M7" s="1092"/>
      <c r="N7" s="1092"/>
      <c r="O7" s="1093"/>
      <c r="P7" s="248"/>
      <c r="Q7" s="248"/>
      <c r="R7" s="248"/>
      <c r="S7" s="248"/>
      <c r="T7" s="248"/>
      <c r="U7" s="248"/>
      <c r="V7" s="248"/>
      <c r="W7" s="248"/>
      <c r="X7" s="248"/>
      <c r="Y7" s="248"/>
      <c r="Z7" s="248"/>
      <c r="AA7" s="248"/>
      <c r="AB7" s="248"/>
      <c r="AC7" s="248"/>
      <c r="AD7" s="248"/>
      <c r="AE7" s="248"/>
      <c r="AF7" s="248"/>
      <c r="AG7" s="248"/>
      <c r="AH7" s="248"/>
      <c r="AI7" s="249"/>
    </row>
    <row r="8" spans="1:35" ht="18.75" customHeight="1" x14ac:dyDescent="0.2">
      <c r="A8" s="246"/>
      <c r="B8" s="932" t="s">
        <v>91</v>
      </c>
      <c r="C8" s="933"/>
      <c r="D8" s="1077" t="str">
        <f>IF(Calculation!Q13&lt;&gt;"",IF(Calculation!Q13=1,"均質単板スラブ",IF(Calculation!Q13=2,"矩形中空合成スラブ",IF(Calculation!Q13=3,"穴あきPC板合成スラブ",IF(Calculation!Q13=4,"ハーフPca合成スラブ",IF(Calculation!Q13=5,"円形中空スラブ",IF(Calculation!Q13=6,"波型中空合成スラブ",IF(Calculation!Q13=7,"波型中空スラブ","NG"))))))),"")</f>
        <v>波型中空合成スラブ</v>
      </c>
      <c r="E8" s="1077"/>
      <c r="F8" s="1077"/>
      <c r="G8" s="1077"/>
      <c r="H8" s="1078"/>
      <c r="I8" s="1045" t="s">
        <v>98</v>
      </c>
      <c r="J8" s="1044"/>
      <c r="K8" s="1044"/>
      <c r="L8" s="327">
        <f>IF(INPUT!G52&lt;&gt;"",INPUT!G52,"")</f>
        <v>20</v>
      </c>
      <c r="M8" s="319" t="s">
        <v>439</v>
      </c>
      <c r="N8" s="319"/>
      <c r="O8" s="320"/>
      <c r="P8" s="248"/>
      <c r="Q8" s="248"/>
      <c r="R8" s="248"/>
      <c r="S8" s="248"/>
      <c r="T8" s="248"/>
      <c r="U8" s="248"/>
      <c r="V8" s="248"/>
      <c r="W8" s="248"/>
      <c r="X8" s="248"/>
      <c r="Y8" s="248"/>
      <c r="Z8" s="248"/>
      <c r="AA8" s="248"/>
      <c r="AB8" s="248"/>
      <c r="AC8" s="248"/>
      <c r="AD8" s="248"/>
      <c r="AE8" s="248"/>
      <c r="AF8" s="248"/>
      <c r="AG8" s="248"/>
      <c r="AH8" s="248"/>
      <c r="AI8" s="249"/>
    </row>
    <row r="9" spans="1:35" ht="18.75" customHeight="1" x14ac:dyDescent="0.2">
      <c r="A9" s="246"/>
      <c r="B9" s="932" t="s">
        <v>92</v>
      </c>
      <c r="C9" s="933"/>
      <c r="D9" s="257">
        <f>IF(Calculation!Q13&lt;&gt;"",Calculation!C86,"")</f>
        <v>140</v>
      </c>
      <c r="E9" s="256" t="s">
        <v>440</v>
      </c>
      <c r="F9" s="319"/>
      <c r="G9" s="319"/>
      <c r="H9" s="320"/>
      <c r="I9" s="1106" t="s">
        <v>99</v>
      </c>
      <c r="J9" s="1107"/>
      <c r="K9" s="1107"/>
      <c r="L9" s="327">
        <f>IF(INPUT!G52&lt;&gt;"",IF(INPUT!K52&lt;&gt;"",IF(INPUT!O52&lt;&gt;"",Calculation!B240,""),""),"")</f>
        <v>102.5</v>
      </c>
      <c r="M9" s="319" t="s">
        <v>439</v>
      </c>
      <c r="N9" s="319"/>
      <c r="O9" s="320"/>
      <c r="P9" s="248"/>
      <c r="Q9" s="248"/>
      <c r="R9" s="248"/>
      <c r="S9" s="248"/>
      <c r="T9" s="248"/>
      <c r="U9" s="248"/>
      <c r="V9" s="248"/>
      <c r="W9" s="248"/>
      <c r="X9" s="248"/>
      <c r="Y9" s="248"/>
      <c r="Z9" s="248"/>
      <c r="AA9" s="248"/>
      <c r="AB9" s="248"/>
      <c r="AC9" s="248"/>
      <c r="AD9" s="248"/>
      <c r="AE9" s="248"/>
      <c r="AF9" s="248"/>
      <c r="AG9" s="248"/>
      <c r="AH9" s="248"/>
      <c r="AI9" s="249"/>
    </row>
    <row r="10" spans="1:35" ht="18.75" customHeight="1" x14ac:dyDescent="0.2">
      <c r="A10" s="246"/>
      <c r="B10" s="932" t="s">
        <v>97</v>
      </c>
      <c r="C10" s="933"/>
      <c r="D10" s="257">
        <f>IF(D9&lt;&gt;"",Calculation!J86,"")</f>
        <v>146.6322265336799</v>
      </c>
      <c r="E10" s="319" t="s">
        <v>441</v>
      </c>
      <c r="F10" s="319"/>
      <c r="G10" s="319"/>
      <c r="H10" s="320"/>
      <c r="I10" s="1106" t="s">
        <v>100</v>
      </c>
      <c r="J10" s="1107"/>
      <c r="K10" s="1107"/>
      <c r="L10" s="312">
        <f>IF(INPUT!O52&lt;&gt;"",INPUT!O52,"")</f>
        <v>2500</v>
      </c>
      <c r="M10" s="319" t="s">
        <v>442</v>
      </c>
      <c r="N10" s="319"/>
      <c r="O10" s="320"/>
      <c r="P10" s="248"/>
      <c r="Q10" s="248"/>
      <c r="R10" s="248"/>
      <c r="S10" s="248"/>
      <c r="T10" s="248"/>
      <c r="U10" s="248"/>
      <c r="V10" s="248"/>
      <c r="W10" s="248"/>
      <c r="X10" s="248"/>
      <c r="Y10" s="248"/>
      <c r="Z10" s="248"/>
      <c r="AA10" s="248"/>
      <c r="AB10" s="248"/>
      <c r="AC10" s="248"/>
      <c r="AD10" s="248"/>
      <c r="AE10" s="248"/>
      <c r="AF10" s="248"/>
      <c r="AG10" s="248"/>
      <c r="AH10" s="248"/>
      <c r="AI10" s="249"/>
    </row>
    <row r="11" spans="1:35" ht="18.75" customHeight="1" x14ac:dyDescent="0.2">
      <c r="A11" s="246"/>
      <c r="B11" s="959" t="s">
        <v>94</v>
      </c>
      <c r="C11" s="960"/>
      <c r="D11" s="258" t="s">
        <v>465</v>
      </c>
      <c r="E11" s="961">
        <f>IF(INPUT!C21&lt;&gt;"",INPUT!C21,"")</f>
        <v>8000</v>
      </c>
      <c r="F11" s="961"/>
      <c r="G11" s="321"/>
      <c r="H11" s="259" t="s">
        <v>4</v>
      </c>
      <c r="I11" s="1106" t="s">
        <v>101</v>
      </c>
      <c r="J11" s="1107"/>
      <c r="K11" s="1107"/>
      <c r="L11" s="1044" t="str">
        <f>IF(INPUT!E51&lt;&gt;"",Calculation!B235,"")</f>
        <v xml:space="preserve"> フローリング仕上げ</v>
      </c>
      <c r="M11" s="1044"/>
      <c r="N11" s="1044"/>
      <c r="O11" s="950"/>
      <c r="P11" s="248"/>
      <c r="Q11" s="248"/>
      <c r="R11" s="248"/>
      <c r="S11" s="248"/>
      <c r="T11" s="248"/>
      <c r="U11" s="248"/>
      <c r="V11" s="248"/>
      <c r="W11" s="248"/>
      <c r="X11" s="248"/>
      <c r="Y11" s="248"/>
      <c r="Z11" s="248"/>
      <c r="AA11" s="248"/>
      <c r="AB11" s="248"/>
      <c r="AC11" s="248"/>
      <c r="AD11" s="248"/>
      <c r="AE11" s="248"/>
      <c r="AF11" s="248"/>
      <c r="AG11" s="248"/>
      <c r="AH11" s="248"/>
      <c r="AI11" s="249"/>
    </row>
    <row r="12" spans="1:35" ht="18.75" customHeight="1" x14ac:dyDescent="0.2">
      <c r="A12" s="246"/>
      <c r="B12" s="260"/>
      <c r="C12" s="261"/>
      <c r="D12" s="254" t="s">
        <v>466</v>
      </c>
      <c r="E12" s="951">
        <f>IF(INPUT!C22&lt;&gt;"",INPUT!C22,"")</f>
        <v>9000</v>
      </c>
      <c r="F12" s="951"/>
      <c r="G12" s="322"/>
      <c r="H12" s="262" t="s">
        <v>4</v>
      </c>
      <c r="I12" s="1108" t="s">
        <v>102</v>
      </c>
      <c r="J12" s="1109"/>
      <c r="K12" s="1109"/>
      <c r="L12" s="1109"/>
      <c r="M12" s="1109"/>
      <c r="N12" s="1109"/>
      <c r="O12" s="1110"/>
      <c r="P12" s="248"/>
      <c r="Q12" s="248"/>
      <c r="R12" s="248"/>
      <c r="S12" s="248"/>
      <c r="T12" s="248"/>
      <c r="U12" s="248"/>
      <c r="V12" s="248"/>
      <c r="W12" s="248"/>
      <c r="X12" s="248"/>
      <c r="Y12" s="248"/>
      <c r="Z12" s="248"/>
      <c r="AA12" s="248"/>
      <c r="AB12" s="248"/>
      <c r="AC12" s="248"/>
      <c r="AD12" s="248"/>
      <c r="AE12" s="248"/>
      <c r="AF12" s="248"/>
      <c r="AG12" s="248"/>
      <c r="AH12" s="248"/>
      <c r="AI12" s="249"/>
    </row>
    <row r="13" spans="1:35" ht="18.75" customHeight="1" x14ac:dyDescent="0.2">
      <c r="A13" s="246"/>
      <c r="B13" s="932" t="s">
        <v>96</v>
      </c>
      <c r="C13" s="933"/>
      <c r="D13" s="263">
        <f>IF(INPUT!H21&lt;&gt;"",Calculation!H173,"")</f>
        <v>72</v>
      </c>
      <c r="E13" s="319" t="s">
        <v>443</v>
      </c>
      <c r="F13" s="314"/>
      <c r="G13" s="314"/>
      <c r="H13" s="320"/>
      <c r="I13" s="323" t="s">
        <v>475</v>
      </c>
      <c r="J13" s="333" t="s">
        <v>444</v>
      </c>
      <c r="K13" s="324" t="s">
        <v>445</v>
      </c>
      <c r="L13" s="324" t="s">
        <v>446</v>
      </c>
      <c r="M13" s="324" t="s">
        <v>447</v>
      </c>
      <c r="N13" s="325" t="s">
        <v>403</v>
      </c>
      <c r="O13" s="326" t="s">
        <v>124</v>
      </c>
      <c r="P13" s="248"/>
      <c r="Q13" s="248"/>
      <c r="R13" s="248"/>
      <c r="S13" s="248"/>
      <c r="T13" s="248"/>
      <c r="U13" s="248"/>
      <c r="V13" s="248"/>
      <c r="W13" s="248"/>
      <c r="X13" s="248"/>
      <c r="Y13" s="248"/>
      <c r="Z13" s="248"/>
      <c r="AA13" s="248"/>
      <c r="AB13" s="248"/>
      <c r="AC13" s="248"/>
      <c r="AD13" s="248"/>
      <c r="AE13" s="248"/>
      <c r="AF13" s="248"/>
      <c r="AG13" s="248"/>
      <c r="AH13" s="248"/>
      <c r="AI13" s="249"/>
    </row>
    <row r="14" spans="1:35" ht="18.75" customHeight="1" x14ac:dyDescent="0.2">
      <c r="A14" s="246"/>
      <c r="B14" s="953" t="s">
        <v>449</v>
      </c>
      <c r="C14" s="933"/>
      <c r="D14" s="263">
        <f>IF(D13&lt;&gt;"",IF(D10&lt;&gt;"NG",Calculation!H176,""),"")</f>
        <v>9.0106208852520506</v>
      </c>
      <c r="E14" s="319" t="s">
        <v>450</v>
      </c>
      <c r="F14" s="1077" t="str">
        <f>IF(D14&lt;&gt;"",Calculation!O176,"")</f>
        <v>8Hz帯域</v>
      </c>
      <c r="G14" s="1077"/>
      <c r="H14" s="1078"/>
      <c r="I14" s="309">
        <f>INPUT!G55</f>
        <v>0.09</v>
      </c>
      <c r="J14" s="334">
        <f>INPUT!G55</f>
        <v>0.09</v>
      </c>
      <c r="K14" s="310">
        <f>INPUT!I55</f>
        <v>0.09</v>
      </c>
      <c r="L14" s="310">
        <f>INPUT!K55</f>
        <v>0.08</v>
      </c>
      <c r="M14" s="310">
        <f>INPUT!M55</f>
        <v>7.0000000000000007E-2</v>
      </c>
      <c r="N14" s="310">
        <f>INPUT!O55</f>
        <v>7.0000000000000007E-2</v>
      </c>
      <c r="O14" s="311">
        <f>INPUT!Q55</f>
        <v>0.08</v>
      </c>
      <c r="P14" s="248"/>
      <c r="Q14" s="248"/>
      <c r="R14" s="248"/>
      <c r="S14" s="248"/>
      <c r="T14" s="248"/>
      <c r="U14" s="248"/>
      <c r="V14" s="248"/>
      <c r="W14" s="248"/>
      <c r="X14" s="248"/>
      <c r="Y14" s="248"/>
      <c r="Z14" s="248"/>
      <c r="AA14" s="248"/>
      <c r="AB14" s="248"/>
      <c r="AC14" s="248"/>
      <c r="AD14" s="248"/>
      <c r="AE14" s="248"/>
      <c r="AF14" s="248"/>
      <c r="AG14" s="248"/>
      <c r="AH14" s="248"/>
      <c r="AI14" s="249"/>
    </row>
    <row r="15" spans="1:35" ht="16.899999999999999" customHeight="1" x14ac:dyDescent="0.2">
      <c r="A15" s="246"/>
      <c r="B15" s="264"/>
      <c r="C15" s="264"/>
      <c r="D15" s="315"/>
      <c r="E15" s="265"/>
      <c r="F15" s="266"/>
      <c r="G15" s="266"/>
      <c r="H15" s="266"/>
      <c r="I15" s="266"/>
      <c r="J15" s="267"/>
      <c r="K15" s="267"/>
      <c r="L15" s="267"/>
      <c r="M15" s="267"/>
      <c r="N15" s="267"/>
      <c r="O15" s="267"/>
      <c r="P15" s="248"/>
      <c r="Q15" s="248"/>
      <c r="R15" s="250"/>
      <c r="S15" s="250"/>
      <c r="T15" s="250"/>
      <c r="U15" s="250"/>
      <c r="V15" s="250"/>
      <c r="W15" s="250"/>
      <c r="X15" s="250"/>
      <c r="Y15" s="250"/>
      <c r="Z15" s="250"/>
      <c r="AA15" s="250"/>
      <c r="AB15" s="250"/>
      <c r="AC15" s="250"/>
      <c r="AD15" s="250"/>
      <c r="AE15" s="250"/>
      <c r="AF15" s="250"/>
      <c r="AG15" s="250"/>
      <c r="AH15" s="250"/>
      <c r="AI15" s="249"/>
    </row>
    <row r="16" spans="1:35" ht="19.5" customHeight="1" x14ac:dyDescent="0.2">
      <c r="A16" s="246"/>
      <c r="B16" s="1087" t="s">
        <v>396</v>
      </c>
      <c r="C16" s="1088"/>
      <c r="D16" s="1088"/>
      <c r="E16" s="1088"/>
      <c r="F16" s="1088"/>
      <c r="G16" s="1088"/>
      <c r="H16" s="1088"/>
      <c r="I16" s="1088"/>
      <c r="J16" s="1088"/>
      <c r="K16" s="1088"/>
      <c r="L16" s="1088"/>
      <c r="M16" s="1088"/>
      <c r="N16" s="1088"/>
      <c r="O16" s="1089"/>
      <c r="P16" s="248"/>
      <c r="Q16" s="248"/>
      <c r="R16" s="250"/>
      <c r="S16" s="250"/>
      <c r="T16" s="250"/>
      <c r="U16" s="250"/>
      <c r="V16" s="250"/>
      <c r="W16" s="250"/>
      <c r="X16" s="250"/>
      <c r="Y16" s="250"/>
      <c r="Z16" s="250"/>
      <c r="AA16" s="250"/>
      <c r="AB16" s="250"/>
      <c r="AC16" s="250"/>
      <c r="AD16" s="250"/>
      <c r="AE16" s="250"/>
      <c r="AF16" s="250"/>
      <c r="AG16" s="250"/>
      <c r="AH16" s="250"/>
      <c r="AI16" s="249"/>
    </row>
    <row r="17" spans="1:35" ht="18" customHeight="1" x14ac:dyDescent="0.2">
      <c r="A17" s="246"/>
      <c r="B17" s="974"/>
      <c r="C17" s="975"/>
      <c r="D17" s="975"/>
      <c r="E17" s="975"/>
      <c r="F17" s="976" t="s">
        <v>476</v>
      </c>
      <c r="G17" s="977"/>
      <c r="H17" s="976" t="s">
        <v>299</v>
      </c>
      <c r="I17" s="977"/>
      <c r="J17" s="978" t="s">
        <v>300</v>
      </c>
      <c r="K17" s="978"/>
      <c r="L17" s="976" t="s">
        <v>301</v>
      </c>
      <c r="M17" s="977"/>
      <c r="N17" s="976" t="s">
        <v>121</v>
      </c>
      <c r="O17" s="977"/>
      <c r="P17" s="248"/>
      <c r="Q17" s="248"/>
      <c r="R17" s="250"/>
      <c r="S17" s="250"/>
      <c r="T17" s="250"/>
      <c r="U17" s="250"/>
      <c r="V17" s="250"/>
      <c r="W17" s="250"/>
      <c r="X17" s="250"/>
      <c r="Y17" s="250"/>
      <c r="Z17" s="250"/>
      <c r="AA17" s="250"/>
      <c r="AB17" s="250"/>
      <c r="AC17" s="250"/>
      <c r="AD17" s="250"/>
      <c r="AE17" s="250"/>
      <c r="AF17" s="250"/>
      <c r="AG17" s="250"/>
      <c r="AH17" s="250"/>
      <c r="AI17" s="249"/>
    </row>
    <row r="18" spans="1:35" ht="18" customHeight="1" x14ac:dyDescent="0.2">
      <c r="A18" s="246"/>
      <c r="B18" s="965" t="s">
        <v>302</v>
      </c>
      <c r="C18" s="966"/>
      <c r="D18" s="966"/>
      <c r="E18" s="966"/>
      <c r="F18" s="967">
        <f>IF(INPUT!$N$21&lt;&gt;"",IF(INPUT!$N$21="大脇・山下式2021",Calculation!F6,Calculation!F5),"")</f>
        <v>47</v>
      </c>
      <c r="G18" s="968"/>
      <c r="H18" s="967">
        <f>IF(INPUT!$N$21&lt;&gt;"",IF(INPUT!$N$21="大脇・山下式2021",Calculation!G6,Calculation!G5),"")</f>
        <v>40</v>
      </c>
      <c r="I18" s="968"/>
      <c r="J18" s="969">
        <f>IF(INPUT!$N$21&lt;&gt;"",IF(INPUT!$N$21="大脇・山下式2021",Calculation!H6,Calculation!H5),"")</f>
        <v>22</v>
      </c>
      <c r="K18" s="970"/>
      <c r="L18" s="971">
        <f>IF(INPUT!$N$21&lt;&gt;"",IF(INPUT!$N$21="大脇・山下式2021",Calculation!I6,Calculation!I5),"")</f>
        <v>11.5</v>
      </c>
      <c r="M18" s="970"/>
      <c r="N18" s="971">
        <f>IF(INPUT!$N$21&lt;&gt;"",IF(INPUT!$N$21="大脇・山下式2021",Calculation!J6,Calculation!J5),"")</f>
        <v>5.5</v>
      </c>
      <c r="O18" s="970"/>
      <c r="P18" s="248"/>
      <c r="Q18" s="248"/>
      <c r="R18" s="250"/>
      <c r="S18" s="250"/>
      <c r="T18" s="250"/>
      <c r="U18" s="250"/>
      <c r="V18" s="250"/>
      <c r="W18" s="250"/>
      <c r="X18" s="250"/>
      <c r="Y18" s="250"/>
      <c r="Z18" s="250"/>
      <c r="AA18" s="250"/>
      <c r="AB18" s="250"/>
      <c r="AC18" s="250"/>
      <c r="AD18" s="250"/>
      <c r="AE18" s="250"/>
      <c r="AF18" s="250"/>
      <c r="AG18" s="250"/>
      <c r="AH18" s="250"/>
      <c r="AI18" s="249"/>
    </row>
    <row r="19" spans="1:35" ht="18" customHeight="1" x14ac:dyDescent="0.2">
      <c r="A19" s="246"/>
      <c r="B19" s="979" t="s">
        <v>303</v>
      </c>
      <c r="C19" s="980"/>
      <c r="D19" s="980"/>
      <c r="E19" s="980"/>
      <c r="F19" s="967">
        <f>IF(D10&lt;&gt;"",Calculation!E91,"")</f>
        <v>111.34080754140484</v>
      </c>
      <c r="G19" s="968"/>
      <c r="H19" s="967">
        <f>IF(D10&lt;&gt;"",Calculation!E91,"")</f>
        <v>111.34080754140484</v>
      </c>
      <c r="I19" s="968"/>
      <c r="J19" s="981">
        <f>IF(D10&lt;&gt;"",H19,"")</f>
        <v>111.34080754140484</v>
      </c>
      <c r="K19" s="981"/>
      <c r="L19" s="967">
        <f>IF(D10&lt;&gt;"",J19,"")</f>
        <v>111.34080754140484</v>
      </c>
      <c r="M19" s="968"/>
      <c r="N19" s="967">
        <f>IF(D10&lt;&gt;"",L19,"")</f>
        <v>111.34080754140484</v>
      </c>
      <c r="O19" s="968"/>
      <c r="P19" s="248"/>
      <c r="Q19" s="248"/>
      <c r="R19" s="250"/>
      <c r="S19" s="250"/>
      <c r="T19" s="250"/>
      <c r="U19" s="250"/>
      <c r="V19" s="250"/>
      <c r="W19" s="250"/>
      <c r="X19" s="250"/>
      <c r="Y19" s="250"/>
      <c r="Z19" s="250"/>
      <c r="AA19" s="250"/>
      <c r="AB19" s="250"/>
      <c r="AC19" s="250"/>
      <c r="AD19" s="250"/>
      <c r="AE19" s="250"/>
      <c r="AF19" s="250"/>
      <c r="AG19" s="250"/>
      <c r="AH19" s="250"/>
      <c r="AI19" s="249"/>
    </row>
    <row r="20" spans="1:35" ht="18" customHeight="1" x14ac:dyDescent="0.2">
      <c r="A20" s="246"/>
      <c r="B20" s="982" t="s">
        <v>452</v>
      </c>
      <c r="C20" s="982"/>
      <c r="D20" s="982"/>
      <c r="E20" s="331" t="s">
        <v>111</v>
      </c>
      <c r="F20" s="983" t="str">
        <f>Calculation!H163</f>
        <v/>
      </c>
      <c r="G20" s="984"/>
      <c r="H20" s="983" t="str">
        <f>Calculation!I163</f>
        <v/>
      </c>
      <c r="I20" s="984"/>
      <c r="J20" s="985" t="str">
        <f>Calculation!J163</f>
        <v/>
      </c>
      <c r="K20" s="984"/>
      <c r="L20" s="986" t="str">
        <f>Calculation!K163</f>
        <v/>
      </c>
      <c r="M20" s="986"/>
      <c r="N20" s="986" t="str">
        <f>Calculation!L163</f>
        <v/>
      </c>
      <c r="O20" s="986"/>
      <c r="P20" s="248"/>
      <c r="Q20" s="248"/>
      <c r="R20" s="250"/>
      <c r="S20" s="250"/>
      <c r="T20" s="250"/>
      <c r="U20" s="250"/>
      <c r="V20" s="250"/>
      <c r="W20" s="250"/>
      <c r="X20" s="250"/>
      <c r="Y20" s="250"/>
      <c r="Z20" s="250"/>
      <c r="AA20" s="250"/>
      <c r="AB20" s="250"/>
      <c r="AC20" s="250"/>
      <c r="AD20" s="250"/>
      <c r="AE20" s="250"/>
      <c r="AF20" s="250"/>
      <c r="AG20" s="250"/>
      <c r="AH20" s="250"/>
      <c r="AI20" s="249"/>
    </row>
    <row r="21" spans="1:35" ht="18" customHeight="1" x14ac:dyDescent="0.2">
      <c r="A21" s="246"/>
      <c r="B21" s="982"/>
      <c r="C21" s="982"/>
      <c r="D21" s="982"/>
      <c r="E21" s="316" t="s">
        <v>112</v>
      </c>
      <c r="F21" s="987" t="str">
        <f>Calculation!H164</f>
        <v/>
      </c>
      <c r="G21" s="988"/>
      <c r="H21" s="987" t="str">
        <f>Calculation!I164</f>
        <v/>
      </c>
      <c r="I21" s="988"/>
      <c r="J21" s="988" t="str">
        <f>Calculation!J164</f>
        <v/>
      </c>
      <c r="K21" s="989"/>
      <c r="L21" s="989" t="str">
        <f>Calculation!K164</f>
        <v/>
      </c>
      <c r="M21" s="989"/>
      <c r="N21" s="989" t="str">
        <f>Calculation!L164</f>
        <v/>
      </c>
      <c r="O21" s="989"/>
      <c r="P21" s="248"/>
      <c r="Q21" s="248"/>
      <c r="R21" s="250"/>
      <c r="S21" s="250"/>
      <c r="T21" s="250"/>
      <c r="U21" s="250"/>
      <c r="V21" s="250"/>
      <c r="W21" s="250"/>
      <c r="X21" s="250"/>
      <c r="Y21" s="250"/>
      <c r="Z21" s="250"/>
      <c r="AA21" s="250"/>
      <c r="AB21" s="250"/>
      <c r="AC21" s="250"/>
      <c r="AD21" s="250"/>
      <c r="AE21" s="250"/>
      <c r="AF21" s="250"/>
      <c r="AG21" s="250"/>
      <c r="AH21" s="250"/>
      <c r="AI21" s="249"/>
    </row>
    <row r="22" spans="1:35" ht="18" customHeight="1" x14ac:dyDescent="0.2">
      <c r="A22" s="246"/>
      <c r="B22" s="982"/>
      <c r="C22" s="982"/>
      <c r="D22" s="982"/>
      <c r="E22" s="316" t="s">
        <v>41</v>
      </c>
      <c r="F22" s="987">
        <f>Calculation!H165</f>
        <v>3.9911598062910505</v>
      </c>
      <c r="G22" s="988"/>
      <c r="H22" s="987">
        <f>Calculation!I165</f>
        <v>1.9383415747557446</v>
      </c>
      <c r="I22" s="988"/>
      <c r="J22" s="988">
        <f>Calculation!J165</f>
        <v>0.62189329785146441</v>
      </c>
      <c r="K22" s="989"/>
      <c r="L22" s="989">
        <f>Calculation!K165</f>
        <v>0</v>
      </c>
      <c r="M22" s="989"/>
      <c r="N22" s="989">
        <f>Calculation!L165</f>
        <v>0</v>
      </c>
      <c r="O22" s="989"/>
      <c r="P22" s="248"/>
      <c r="Q22" s="248"/>
      <c r="R22" s="250"/>
      <c r="S22" s="250"/>
      <c r="T22" s="250"/>
      <c r="U22" s="250"/>
      <c r="V22" s="250"/>
      <c r="W22" s="250"/>
      <c r="X22" s="250"/>
      <c r="Y22" s="250"/>
      <c r="Z22" s="250"/>
      <c r="AA22" s="250"/>
      <c r="AB22" s="250"/>
      <c r="AC22" s="250"/>
      <c r="AD22" s="250"/>
      <c r="AE22" s="250"/>
      <c r="AF22" s="250"/>
      <c r="AG22" s="250"/>
      <c r="AH22" s="250"/>
      <c r="AI22" s="249"/>
    </row>
    <row r="23" spans="1:35" ht="18" customHeight="1" x14ac:dyDescent="0.2">
      <c r="A23" s="246"/>
      <c r="B23" s="982"/>
      <c r="C23" s="982"/>
      <c r="D23" s="982"/>
      <c r="E23" s="316" t="s">
        <v>113</v>
      </c>
      <c r="F23" s="987">
        <f>Calculation!H166</f>
        <v>5.7769410324338537</v>
      </c>
      <c r="G23" s="988"/>
      <c r="H23" s="987">
        <f>Calculation!I166</f>
        <v>4.6926469489744989</v>
      </c>
      <c r="I23" s="988"/>
      <c r="J23" s="988">
        <f>Calculation!J166</f>
        <v>3.3984768035171005</v>
      </c>
      <c r="K23" s="989"/>
      <c r="L23" s="989">
        <f>Calculation!K166</f>
        <v>1.954960694261219</v>
      </c>
      <c r="M23" s="989"/>
      <c r="N23" s="989">
        <f>Calculation!L166</f>
        <v>0.62189329785146441</v>
      </c>
      <c r="O23" s="989"/>
      <c r="P23" s="248"/>
      <c r="Q23" s="248"/>
      <c r="R23" s="250"/>
      <c r="S23" s="250"/>
      <c r="T23" s="250"/>
      <c r="U23" s="250"/>
      <c r="V23" s="250"/>
      <c r="W23" s="250"/>
      <c r="X23" s="250"/>
      <c r="Y23" s="250"/>
      <c r="Z23" s="250"/>
      <c r="AA23" s="250"/>
      <c r="AB23" s="250"/>
      <c r="AC23" s="250"/>
      <c r="AD23" s="250"/>
      <c r="AE23" s="250"/>
      <c r="AF23" s="250"/>
      <c r="AG23" s="250"/>
      <c r="AH23" s="250"/>
      <c r="AI23" s="249"/>
    </row>
    <row r="24" spans="1:35" ht="18" customHeight="1" x14ac:dyDescent="0.2">
      <c r="A24" s="246"/>
      <c r="B24" s="982"/>
      <c r="C24" s="982"/>
      <c r="D24" s="982"/>
      <c r="E24" s="317" t="s">
        <v>114</v>
      </c>
      <c r="F24" s="990">
        <f>Calculation!H167</f>
        <v>1.6944399248739686</v>
      </c>
      <c r="G24" s="991"/>
      <c r="H24" s="990">
        <f>Calculation!I167</f>
        <v>0.42441392664335353</v>
      </c>
      <c r="I24" s="991"/>
      <c r="J24" s="991">
        <f>Calculation!J167</f>
        <v>0</v>
      </c>
      <c r="K24" s="992"/>
      <c r="L24" s="992">
        <f>Calculation!K167</f>
        <v>0</v>
      </c>
      <c r="M24" s="992"/>
      <c r="N24" s="992">
        <f>Calculation!L167</f>
        <v>0</v>
      </c>
      <c r="O24" s="992"/>
      <c r="P24" s="248"/>
      <c r="Q24" s="248"/>
      <c r="R24" s="250"/>
      <c r="S24" s="250"/>
      <c r="T24" s="250"/>
      <c r="U24" s="250"/>
      <c r="V24" s="250"/>
      <c r="W24" s="250"/>
      <c r="X24" s="250"/>
      <c r="Y24" s="250"/>
      <c r="Z24" s="250"/>
      <c r="AA24" s="250"/>
      <c r="AB24" s="250"/>
      <c r="AC24" s="250"/>
      <c r="AD24" s="250"/>
      <c r="AE24" s="250"/>
      <c r="AF24" s="250"/>
      <c r="AG24" s="250"/>
      <c r="AH24" s="250"/>
      <c r="AI24" s="249"/>
    </row>
    <row r="25" spans="1:35" ht="18" customHeight="1" x14ac:dyDescent="0.2">
      <c r="A25" s="246"/>
      <c r="B25" s="979" t="s">
        <v>10</v>
      </c>
      <c r="C25" s="980"/>
      <c r="D25" s="980"/>
      <c r="E25" s="980"/>
      <c r="F25" s="993" t="str">
        <f>Calculation!T175</f>
        <v/>
      </c>
      <c r="G25" s="994"/>
      <c r="H25" s="993" t="str">
        <f>Calculation!U175</f>
        <v/>
      </c>
      <c r="I25" s="994"/>
      <c r="J25" s="995" t="str">
        <f>Calculation!V175</f>
        <v/>
      </c>
      <c r="K25" s="994"/>
      <c r="L25" s="993" t="str">
        <f>Calculation!W175</f>
        <v/>
      </c>
      <c r="M25" s="994"/>
      <c r="N25" s="993" t="str">
        <f>Calculation!X175</f>
        <v/>
      </c>
      <c r="O25" s="994"/>
      <c r="P25" s="248"/>
      <c r="Q25" s="248"/>
      <c r="R25" s="250"/>
      <c r="S25" s="250"/>
      <c r="T25" s="250"/>
      <c r="U25" s="250"/>
      <c r="V25" s="250"/>
      <c r="W25" s="250"/>
      <c r="X25" s="250"/>
      <c r="Y25" s="250"/>
      <c r="Z25" s="250"/>
      <c r="AA25" s="250"/>
      <c r="AB25" s="250"/>
      <c r="AC25" s="250"/>
      <c r="AD25" s="250"/>
      <c r="AE25" s="250"/>
      <c r="AF25" s="250"/>
      <c r="AG25" s="250"/>
      <c r="AH25" s="250"/>
      <c r="AI25" s="249"/>
    </row>
    <row r="26" spans="1:35" ht="18" customHeight="1" x14ac:dyDescent="0.2">
      <c r="A26" s="246"/>
      <c r="B26" s="996" t="s">
        <v>451</v>
      </c>
      <c r="C26" s="997"/>
      <c r="D26" s="998"/>
      <c r="E26" s="331" t="s">
        <v>111</v>
      </c>
      <c r="F26" s="1005" t="str">
        <f>IF(F20&lt;&gt;"",F$19+F20+F$25,"")</f>
        <v/>
      </c>
      <c r="G26" s="1006"/>
      <c r="H26" s="1005" t="str">
        <f>IF(H20&lt;&gt;"",H$19+H20+H$25,"")</f>
        <v/>
      </c>
      <c r="I26" s="1006"/>
      <c r="J26" s="1007" t="str">
        <f>IF(J20&lt;&gt;"",J$19+J20+J$25,"")</f>
        <v/>
      </c>
      <c r="K26" s="1008"/>
      <c r="L26" s="1005" t="str">
        <f>IF(L20&lt;&gt;"",L$19+L20+L$25,"")</f>
        <v/>
      </c>
      <c r="M26" s="1008"/>
      <c r="N26" s="1005" t="str">
        <f>IF(N20&lt;&gt;"",N$19+N20+N$25,"")</f>
        <v/>
      </c>
      <c r="O26" s="1008"/>
      <c r="P26" s="248"/>
      <c r="Q26" s="248"/>
      <c r="R26" s="250"/>
      <c r="S26" s="250"/>
      <c r="T26" s="250"/>
      <c r="U26" s="250"/>
      <c r="V26" s="250"/>
      <c r="W26" s="250"/>
      <c r="X26" s="250"/>
      <c r="Y26" s="250"/>
      <c r="Z26" s="250"/>
      <c r="AA26" s="250"/>
      <c r="AB26" s="250"/>
      <c r="AC26" s="250"/>
      <c r="AD26" s="250"/>
      <c r="AE26" s="250"/>
      <c r="AF26" s="250"/>
      <c r="AG26" s="250"/>
      <c r="AH26" s="250"/>
      <c r="AI26" s="249"/>
    </row>
    <row r="27" spans="1:35" ht="18" customHeight="1" x14ac:dyDescent="0.2">
      <c r="A27" s="246"/>
      <c r="B27" s="999"/>
      <c r="C27" s="1000"/>
      <c r="D27" s="1001"/>
      <c r="E27" s="316" t="s">
        <v>304</v>
      </c>
      <c r="F27" s="971" t="str">
        <f>IF(F21&lt;&gt;"",F$19+F21+F$25,"")</f>
        <v/>
      </c>
      <c r="G27" s="970"/>
      <c r="H27" s="971" t="str">
        <f>IF(H21&lt;&gt;"",H$19+H21+H$25,"")</f>
        <v/>
      </c>
      <c r="I27" s="970"/>
      <c r="J27" s="969" t="str">
        <f>IF(J21&lt;&gt;"",J$19+J21+J$25,"")</f>
        <v/>
      </c>
      <c r="K27" s="1009"/>
      <c r="L27" s="971" t="str">
        <f>IF(L21&lt;&gt;"",L$19+L21+L$25,"")</f>
        <v/>
      </c>
      <c r="M27" s="1009"/>
      <c r="N27" s="971" t="str">
        <f>IF(N21&lt;&gt;"",N$19+N21+N$25,"")</f>
        <v/>
      </c>
      <c r="O27" s="1009"/>
      <c r="P27" s="248"/>
      <c r="Q27" s="248"/>
      <c r="R27" s="250"/>
      <c r="S27" s="250"/>
      <c r="T27" s="250"/>
      <c r="U27" s="250"/>
      <c r="V27" s="250"/>
      <c r="W27" s="250"/>
      <c r="X27" s="250"/>
      <c r="Y27" s="250"/>
      <c r="Z27" s="250"/>
      <c r="AA27" s="250"/>
      <c r="AB27" s="250"/>
      <c r="AC27" s="250"/>
      <c r="AD27" s="250"/>
      <c r="AE27" s="250"/>
      <c r="AF27" s="250"/>
      <c r="AG27" s="250"/>
      <c r="AH27" s="250"/>
      <c r="AI27" s="249"/>
    </row>
    <row r="28" spans="1:35" ht="18" customHeight="1" x14ac:dyDescent="0.2">
      <c r="A28" s="246"/>
      <c r="B28" s="999"/>
      <c r="C28" s="1000"/>
      <c r="D28" s="1001"/>
      <c r="E28" s="316" t="s">
        <v>305</v>
      </c>
      <c r="F28" s="971" t="e">
        <f>IF(F22&lt;&gt;"",F$19+F22+F$25,"")</f>
        <v>#VALUE!</v>
      </c>
      <c r="G28" s="970"/>
      <c r="H28" s="971" t="e">
        <f>IF(H22&lt;&gt;"",H$19+H22+H$25,"")</f>
        <v>#VALUE!</v>
      </c>
      <c r="I28" s="970"/>
      <c r="J28" s="969" t="e">
        <f>IF(J22&lt;&gt;"",J$19+J22+J$25,"")</f>
        <v>#VALUE!</v>
      </c>
      <c r="K28" s="1009"/>
      <c r="L28" s="971" t="e">
        <f>IF(L22&lt;&gt;"",L$19+L22+L$25,"")</f>
        <v>#VALUE!</v>
      </c>
      <c r="M28" s="1009"/>
      <c r="N28" s="971" t="e">
        <f>IF(N22&lt;&gt;"",N$19+N22+N$25,"")</f>
        <v>#VALUE!</v>
      </c>
      <c r="O28" s="1009"/>
      <c r="P28" s="248"/>
      <c r="Q28" s="248"/>
      <c r="R28" s="250"/>
      <c r="S28" s="250"/>
      <c r="T28" s="250"/>
      <c r="U28" s="250"/>
      <c r="V28" s="250"/>
      <c r="W28" s="250"/>
      <c r="X28" s="250"/>
      <c r="Y28" s="250"/>
      <c r="Z28" s="250"/>
      <c r="AA28" s="250"/>
      <c r="AB28" s="250"/>
      <c r="AC28" s="250"/>
      <c r="AD28" s="250"/>
      <c r="AE28" s="250"/>
      <c r="AF28" s="250"/>
      <c r="AG28" s="250"/>
      <c r="AH28" s="250"/>
      <c r="AI28" s="249"/>
    </row>
    <row r="29" spans="1:35" ht="18" customHeight="1" x14ac:dyDescent="0.2">
      <c r="A29" s="246"/>
      <c r="B29" s="999"/>
      <c r="C29" s="1000"/>
      <c r="D29" s="1001"/>
      <c r="E29" s="316" t="s">
        <v>306</v>
      </c>
      <c r="F29" s="971" t="e">
        <f>IF(F23&lt;&gt;"",F$19+F23+F$25,"")</f>
        <v>#VALUE!</v>
      </c>
      <c r="G29" s="970"/>
      <c r="H29" s="971" t="e">
        <f>IF(H23&lt;&gt;"",H$19+H23+H$25,"")</f>
        <v>#VALUE!</v>
      </c>
      <c r="I29" s="970"/>
      <c r="J29" s="969" t="e">
        <f>IF(J23&lt;&gt;"",J$19+J23+J$25,"")</f>
        <v>#VALUE!</v>
      </c>
      <c r="K29" s="1009"/>
      <c r="L29" s="971" t="e">
        <f>IF(L23&lt;&gt;"",L$19+L23+L$25,"")</f>
        <v>#VALUE!</v>
      </c>
      <c r="M29" s="1009"/>
      <c r="N29" s="971" t="e">
        <f>IF(N23&lt;&gt;"",N$19+N23+N$25,"")</f>
        <v>#VALUE!</v>
      </c>
      <c r="O29" s="1009"/>
      <c r="P29" s="248"/>
      <c r="Q29" s="248"/>
      <c r="R29" s="250"/>
      <c r="S29" s="250"/>
      <c r="T29" s="250"/>
      <c r="U29" s="250"/>
      <c r="V29" s="250"/>
      <c r="W29" s="250"/>
      <c r="X29" s="250"/>
      <c r="Y29" s="250"/>
      <c r="Z29" s="250"/>
      <c r="AA29" s="250"/>
      <c r="AB29" s="250"/>
      <c r="AC29" s="250"/>
      <c r="AD29" s="250"/>
      <c r="AE29" s="250"/>
      <c r="AF29" s="250"/>
      <c r="AG29" s="250"/>
      <c r="AH29" s="250"/>
      <c r="AI29" s="249"/>
    </row>
    <row r="30" spans="1:35" ht="18" customHeight="1" x14ac:dyDescent="0.2">
      <c r="A30" s="246"/>
      <c r="B30" s="1002"/>
      <c r="C30" s="1003"/>
      <c r="D30" s="1004"/>
      <c r="E30" s="317" t="s">
        <v>307</v>
      </c>
      <c r="F30" s="1010" t="e">
        <f>IF(F24&lt;&gt;"",F$19+F24+F$25,"")</f>
        <v>#VALUE!</v>
      </c>
      <c r="G30" s="1011"/>
      <c r="H30" s="1010" t="e">
        <f>IF(H24&lt;&gt;"",H$19+H24+H$25,"")</f>
        <v>#VALUE!</v>
      </c>
      <c r="I30" s="1011"/>
      <c r="J30" s="1012" t="e">
        <f>IF(J24&lt;&gt;"",J$19+J24+J$25,"")</f>
        <v>#VALUE!</v>
      </c>
      <c r="K30" s="1013"/>
      <c r="L30" s="1010" t="e">
        <f>IF(L24&lt;&gt;"",L$19+L24+L$25,"")</f>
        <v>#VALUE!</v>
      </c>
      <c r="M30" s="1013"/>
      <c r="N30" s="1010" t="e">
        <f>IF(N24&lt;&gt;"",N$19+N24+N$25,"")</f>
        <v>#VALUE!</v>
      </c>
      <c r="O30" s="1013"/>
      <c r="P30" s="248"/>
      <c r="Q30" s="248"/>
      <c r="R30" s="250"/>
      <c r="S30" s="248"/>
      <c r="T30" s="250"/>
      <c r="U30" s="250"/>
      <c r="V30" s="250"/>
      <c r="W30" s="250"/>
      <c r="X30" s="250"/>
      <c r="Y30" s="250"/>
      <c r="Z30" s="250"/>
      <c r="AA30" s="250"/>
      <c r="AB30" s="250"/>
      <c r="AC30" s="250"/>
      <c r="AD30" s="250"/>
      <c r="AE30" s="250"/>
      <c r="AF30" s="250"/>
      <c r="AG30" s="250"/>
      <c r="AH30" s="250"/>
      <c r="AI30" s="249"/>
    </row>
    <row r="31" spans="1:35" ht="18" customHeight="1" x14ac:dyDescent="0.2">
      <c r="A31" s="246"/>
      <c r="B31" s="979" t="s">
        <v>372</v>
      </c>
      <c r="C31" s="980"/>
      <c r="D31" s="980"/>
      <c r="E31" s="980"/>
      <c r="F31" s="1014">
        <f>IF(D13&lt;&gt;"",IF(INPUT!$N$21="大脇・山下式2021",Calculation!D202,"－"),"")</f>
        <v>-1</v>
      </c>
      <c r="G31" s="1015"/>
      <c r="H31" s="1014">
        <f>IF(D13&lt;&gt;"",IF(INPUT!$N$21="大脇・山下式2021",Calculation!F202,"－"),"")</f>
        <v>-2.2000000000000002</v>
      </c>
      <c r="I31" s="1015"/>
      <c r="J31" s="1016">
        <f>IF(D13&lt;&gt;"",IF(INPUT!$N$21="大脇・山下式2021",Calculation!H202,"－"),"")</f>
        <v>-3.6</v>
      </c>
      <c r="K31" s="1015"/>
      <c r="L31" s="1014">
        <f>IF(D13&lt;&gt;"",IF(INPUT!$N$21="大脇・山下式2021",Calculation!J202,"－"),"")</f>
        <v>-5.6</v>
      </c>
      <c r="M31" s="1015"/>
      <c r="N31" s="1014">
        <f>IF(D13&lt;&gt;"",IF(INPUT!$N$21="大脇・山下式2021",Calculation!L202,"－"),"")</f>
        <v>-7.6</v>
      </c>
      <c r="O31" s="1015"/>
      <c r="P31" s="248"/>
      <c r="Q31" s="248"/>
      <c r="R31" s="250"/>
      <c r="S31" s="248"/>
      <c r="T31" s="250"/>
      <c r="U31" s="250"/>
      <c r="V31" s="250"/>
      <c r="W31" s="250"/>
      <c r="X31" s="250"/>
      <c r="Y31" s="250"/>
      <c r="Z31" s="250"/>
      <c r="AA31" s="250"/>
      <c r="AB31" s="250"/>
      <c r="AC31" s="250"/>
      <c r="AD31" s="250"/>
      <c r="AE31" s="250"/>
      <c r="AF31" s="250"/>
      <c r="AG31" s="250"/>
      <c r="AH31" s="250"/>
      <c r="AI31" s="249"/>
    </row>
    <row r="32" spans="1:35" ht="18" customHeight="1" x14ac:dyDescent="0.2">
      <c r="A32" s="246"/>
      <c r="B32" s="1017" t="s">
        <v>308</v>
      </c>
      <c r="C32" s="1018"/>
      <c r="D32" s="1018"/>
      <c r="E32" s="1018"/>
      <c r="F32" s="983" t="e">
        <f>Calculation!W205</f>
        <v>#REF!</v>
      </c>
      <c r="G32" s="984"/>
      <c r="H32" s="983">
        <f>INPUT!C35</f>
        <v>5</v>
      </c>
      <c r="I32" s="984"/>
      <c r="J32" s="985">
        <f>INPUT!C36</f>
        <v>6</v>
      </c>
      <c r="K32" s="985"/>
      <c r="L32" s="983">
        <f>INPUT!C37</f>
        <v>7</v>
      </c>
      <c r="M32" s="984"/>
      <c r="N32" s="983">
        <f>INPUT!C38</f>
        <v>8</v>
      </c>
      <c r="O32" s="984"/>
      <c r="P32" s="248"/>
      <c r="Q32" s="248"/>
      <c r="R32" s="250"/>
      <c r="S32" s="248"/>
      <c r="T32" s="250"/>
      <c r="U32" s="250"/>
      <c r="V32" s="250"/>
      <c r="W32" s="250"/>
      <c r="X32" s="250"/>
      <c r="Y32" s="250"/>
      <c r="Z32" s="250"/>
      <c r="AA32" s="250"/>
      <c r="AB32" s="250"/>
      <c r="AC32" s="250"/>
      <c r="AD32" s="250"/>
      <c r="AE32" s="250"/>
      <c r="AF32" s="250"/>
      <c r="AG32" s="250"/>
      <c r="AH32" s="250"/>
      <c r="AI32" s="249"/>
    </row>
    <row r="33" spans="1:37" ht="18" customHeight="1" x14ac:dyDescent="0.2">
      <c r="A33" s="246"/>
      <c r="B33" s="1019" t="s">
        <v>115</v>
      </c>
      <c r="C33" s="1020"/>
      <c r="D33" s="1020"/>
      <c r="E33" s="1020"/>
      <c r="F33" s="990" t="e">
        <f>10*LOG10(F32)</f>
        <v>#REF!</v>
      </c>
      <c r="G33" s="991"/>
      <c r="H33" s="990">
        <f t="shared" ref="H33" si="0">10*LOG10(H32)</f>
        <v>6.9897000433601884</v>
      </c>
      <c r="I33" s="991"/>
      <c r="J33" s="1021">
        <f t="shared" ref="J33" si="1">10*LOG10(J32)</f>
        <v>7.7815125038364368</v>
      </c>
      <c r="K33" s="991"/>
      <c r="L33" s="990">
        <f t="shared" ref="L33" si="2">10*LOG10(L32)</f>
        <v>8.4509804001425675</v>
      </c>
      <c r="M33" s="991"/>
      <c r="N33" s="990">
        <f t="shared" ref="N33" si="3">10*LOG10(N32)</f>
        <v>9.0308998699194358</v>
      </c>
      <c r="O33" s="991"/>
      <c r="P33" s="248"/>
      <c r="Q33" s="248"/>
      <c r="R33" s="250"/>
      <c r="S33" s="248"/>
      <c r="T33" s="250"/>
      <c r="U33" s="250"/>
      <c r="V33" s="250"/>
      <c r="W33" s="250"/>
      <c r="X33" s="250"/>
      <c r="Y33" s="250"/>
      <c r="Z33" s="250"/>
      <c r="AA33" s="250"/>
      <c r="AB33" s="250"/>
      <c r="AC33" s="250"/>
      <c r="AD33" s="250"/>
      <c r="AE33" s="250"/>
      <c r="AF33" s="250"/>
      <c r="AG33" s="250"/>
      <c r="AH33" s="250"/>
      <c r="AI33" s="249"/>
    </row>
    <row r="34" spans="1:37" ht="18" customHeight="1" x14ac:dyDescent="0.2">
      <c r="A34" s="246"/>
      <c r="B34" s="979" t="s">
        <v>309</v>
      </c>
      <c r="C34" s="1022"/>
      <c r="D34" s="1022"/>
      <c r="E34" s="1022"/>
      <c r="F34" s="967">
        <f>IF(D10&lt;&gt;"",IF(INPUT!$N$21="大脇・山下式2021",Calculation!G232,Calculation!G233),"")</f>
        <v>-10.054936339598521</v>
      </c>
      <c r="G34" s="968"/>
      <c r="H34" s="967">
        <f>IF(D10&lt;&gt;"",IF(INPUT!$N$21="大脇・山下式2021",Calculation!H232,Calculation!H233),"")</f>
        <v>-6.4823481473860021</v>
      </c>
      <c r="I34" s="968"/>
      <c r="J34" s="981">
        <f>IF(D10&lt;&gt;"",IF(INPUT!$N$21="大脇・山下式2021",Calculation!I232,Calculation!I233),"")</f>
        <v>-1.5411827372019327</v>
      </c>
      <c r="K34" s="968"/>
      <c r="L34" s="967">
        <f>IF(D10&lt;&gt;"",IF(INPUT!$N$21="大脇・山下式2021",Calculation!J232,Calculation!J233),"")</f>
        <v>-0.16984606480783637</v>
      </c>
      <c r="M34" s="968"/>
      <c r="N34" s="967">
        <f>IF(D10&lt;&gt;"",IF(INPUT!$N$21="大脇・山下式2021",Calculation!K232,Calculation!K233),"")</f>
        <v>0</v>
      </c>
      <c r="O34" s="968"/>
      <c r="P34" s="248"/>
      <c r="Q34" s="248"/>
      <c r="R34" s="250"/>
      <c r="S34" s="248"/>
      <c r="T34" s="250"/>
      <c r="U34" s="250"/>
      <c r="V34" s="250"/>
      <c r="W34" s="250"/>
      <c r="X34" s="250"/>
      <c r="Y34" s="250"/>
      <c r="Z34" s="250"/>
      <c r="AA34" s="250"/>
      <c r="AB34" s="250"/>
      <c r="AC34" s="250"/>
      <c r="AD34" s="250"/>
      <c r="AE34" s="250"/>
      <c r="AF34" s="250"/>
      <c r="AG34" s="250"/>
      <c r="AH34" s="250"/>
      <c r="AI34" s="249"/>
    </row>
    <row r="35" spans="1:37" ht="18" customHeight="1" x14ac:dyDescent="0.2">
      <c r="A35" s="246"/>
      <c r="B35" s="1017" t="s">
        <v>469</v>
      </c>
      <c r="C35" s="1023"/>
      <c r="D35" s="1023"/>
      <c r="E35" s="1023"/>
      <c r="F35" s="983">
        <f>Calculation!B238</f>
        <v>9.2249999999999996</v>
      </c>
      <c r="G35" s="984"/>
      <c r="H35" s="983">
        <f>Calculation!C238</f>
        <v>9.2249999999999996</v>
      </c>
      <c r="I35" s="984"/>
      <c r="J35" s="985">
        <f>Calculation!D238</f>
        <v>9.2249999999999996</v>
      </c>
      <c r="K35" s="984"/>
      <c r="L35" s="983">
        <f>Calculation!E238</f>
        <v>8.1999999999999993</v>
      </c>
      <c r="M35" s="984"/>
      <c r="N35" s="983">
        <f>Calculation!F238</f>
        <v>7.1750000000000007</v>
      </c>
      <c r="O35" s="984"/>
      <c r="P35" s="248"/>
      <c r="Q35" s="248"/>
      <c r="R35" s="248"/>
      <c r="S35" s="248"/>
      <c r="T35" s="248"/>
      <c r="U35" s="248"/>
      <c r="V35" s="248"/>
      <c r="W35" s="248"/>
      <c r="X35" s="248"/>
      <c r="Y35" s="248"/>
      <c r="Z35" s="248"/>
      <c r="AA35" s="248"/>
      <c r="AB35" s="248"/>
      <c r="AC35" s="248"/>
      <c r="AD35" s="248"/>
      <c r="AE35" s="248"/>
      <c r="AF35" s="248"/>
      <c r="AG35" s="248"/>
      <c r="AH35" s="248"/>
      <c r="AI35" s="249"/>
    </row>
    <row r="36" spans="1:37" ht="18" customHeight="1" x14ac:dyDescent="0.2">
      <c r="A36" s="246"/>
      <c r="B36" s="1019" t="s">
        <v>17</v>
      </c>
      <c r="C36" s="1020"/>
      <c r="D36" s="1020"/>
      <c r="E36" s="1020"/>
      <c r="F36" s="1010">
        <f>10*LOG10(F35)</f>
        <v>9.6496637483109797</v>
      </c>
      <c r="G36" s="1011"/>
      <c r="H36" s="1010">
        <f t="shared" ref="H36" si="4">10*LOG10(H35)</f>
        <v>9.6496637483109797</v>
      </c>
      <c r="I36" s="1011"/>
      <c r="J36" s="1012">
        <f t="shared" ref="J36" si="5">10*LOG10(J35)</f>
        <v>9.6496637483109797</v>
      </c>
      <c r="K36" s="1011"/>
      <c r="L36" s="1010">
        <f t="shared" ref="L36" si="6">10*LOG10(L35)</f>
        <v>9.1381385238371671</v>
      </c>
      <c r="M36" s="1011"/>
      <c r="N36" s="1010">
        <f t="shared" ref="N36" si="7">10*LOG10(N35)</f>
        <v>8.5582190540603005</v>
      </c>
      <c r="O36" s="1011"/>
      <c r="P36" s="248"/>
      <c r="Q36" s="248"/>
      <c r="R36" s="268" t="s">
        <v>562</v>
      </c>
      <c r="S36" s="248"/>
      <c r="T36" s="248"/>
      <c r="U36" s="248"/>
      <c r="V36" s="248"/>
      <c r="W36" s="248"/>
      <c r="X36" s="248"/>
      <c r="Y36" s="248"/>
      <c r="Z36" s="248"/>
      <c r="AA36" s="248"/>
      <c r="AB36" s="248"/>
      <c r="AC36" s="248"/>
      <c r="AD36" s="248"/>
      <c r="AE36" s="248"/>
      <c r="AF36" s="248"/>
      <c r="AG36" s="248"/>
      <c r="AH36" s="248"/>
      <c r="AI36" s="249"/>
    </row>
    <row r="37" spans="1:37" ht="18" customHeight="1" x14ac:dyDescent="0.2">
      <c r="A37" s="246"/>
      <c r="B37" s="979" t="s">
        <v>421</v>
      </c>
      <c r="C37" s="1022"/>
      <c r="D37" s="1022"/>
      <c r="E37" s="1022"/>
      <c r="F37" s="1014">
        <f>IF(INPUT!E51&lt;&gt;"",IF(INPUT!$N$21&lt;&gt;"",IF(INPUT!$N$21="大脇・山下式2021",Calculation!F247,Calculation!F248),""),"")</f>
        <v>5.2</v>
      </c>
      <c r="G37" s="1015"/>
      <c r="H37" s="1014">
        <f>IF(INPUT!E51&lt;&gt;"",IF(INPUT!$N$21&lt;&gt;"",IF(INPUT!$N$21="大脇・山下式2021",Calculation!G247,Calculation!G248),""),"")</f>
        <v>5.2</v>
      </c>
      <c r="I37" s="1015"/>
      <c r="J37" s="1016">
        <f>IF(INPUT!E51&lt;&gt;"",IF(INPUT!$N$21&lt;&gt;"",IF(INPUT!$N$21="大脇・山下式2021",Calculation!H247,Calculation!H248),""),"")</f>
        <v>5.2</v>
      </c>
      <c r="K37" s="1015"/>
      <c r="L37" s="1014">
        <f>IF(INPUT!E51&lt;&gt;"",IF(INPUT!$N$21&lt;&gt;"",IF(INPUT!$N$21="大脇・山下式2021",Calculation!I247,Calculation!I248),""),"")</f>
        <v>5.2</v>
      </c>
      <c r="M37" s="1015"/>
      <c r="N37" s="1014">
        <f>IF(INPUT!E51&lt;&gt;"",IF(INPUT!$N$21&lt;&gt;"",IF(INPUT!$N$21="大脇・山下式2021",Calculation!J247,Calculation!J248),""),"")</f>
        <v>5.2</v>
      </c>
      <c r="O37" s="1015"/>
      <c r="P37" s="248"/>
      <c r="Q37" s="248"/>
      <c r="R37" s="413" t="s">
        <v>563</v>
      </c>
      <c r="S37" s="248"/>
      <c r="T37" s="248"/>
      <c r="U37" s="248"/>
      <c r="V37" s="248"/>
      <c r="W37" s="248"/>
      <c r="X37" s="248"/>
      <c r="Y37" s="248"/>
      <c r="Z37" s="248"/>
      <c r="AA37" s="248"/>
      <c r="AB37" s="248"/>
      <c r="AC37" s="248"/>
      <c r="AD37" s="248"/>
      <c r="AE37" s="248"/>
      <c r="AF37" s="248"/>
      <c r="AG37" s="248"/>
      <c r="AH37" s="248"/>
      <c r="AI37" s="249"/>
    </row>
    <row r="38" spans="1:37" ht="18" customHeight="1" x14ac:dyDescent="0.2">
      <c r="A38" s="246"/>
      <c r="B38" s="1024" t="s">
        <v>103</v>
      </c>
      <c r="C38" s="1025"/>
      <c r="D38" s="1025"/>
      <c r="E38" s="331" t="s">
        <v>117</v>
      </c>
      <c r="F38" s="1005" t="e">
        <f>IF(F$35&lt;&gt;"",IF(F$32&lt;&gt;"",IF(F26&lt;&gt;"",IF(INPUT!$N$21="大脇・山下式2021",ROUND(F$18,1)-ROUND(F26,1)+ROUND(F$33,1)+ROUND(F$34,1)-ROUND(F$36,1)+ROUND(F$37,1)+ROUND(F$31,1)+152,ROUND(F$18,1)-ROUND(F26,1)+ROUND(F$33,1)+ROUND(F$34,1)-ROUND(F$36,1)+ROUND(F$37,1)+152),""),""),"")</f>
        <v>#REF!</v>
      </c>
      <c r="G38" s="1006"/>
      <c r="H38" s="1005" t="str">
        <f>IF(H$35&lt;&gt;"",IF(H$32&lt;&gt;"",IF(H26&lt;&gt;"",IF(INPUT!$N$21="大脇・山下式2021",ROUND(H$18,1)-ROUND(H26,1)+ROUND(H$33,1)+ROUND(H$34,1)-ROUND(H$36,1)+ROUND(H$37,1)+ROUND(H$31,1)+152,ROUND(H$18,1)-ROUND(H26,1)+ROUND(H$33,1)+ROUND(H$34,1)-ROUND(H$36,1)+ROUND(H$37,1)+152),""),""),"")</f>
        <v/>
      </c>
      <c r="I38" s="1006"/>
      <c r="J38" s="1007" t="str">
        <f>IF(J$35&lt;&gt;"",IF(J$32&lt;&gt;"",IF(J26&lt;&gt;"",IF(INPUT!$N$21="大脇・山下式2021",ROUND(J$18,1)-ROUND(J26,1)+ROUND(J$33,1)+ROUND(J$34,1)-ROUND(J$36,1)+ROUND(J$37,1)+ROUND(J$31,1)+152,ROUND(J$18,1)-ROUND(J26,1)+ROUND(J$33,1)+ROUND(J$34,1)-ROUND(J$36,1)+ROUND(J$37,1)+152),""),""),"")</f>
        <v/>
      </c>
      <c r="K38" s="1008"/>
      <c r="L38" s="1005" t="str">
        <f>IF(L$35&lt;&gt;"",IF(L$32&lt;&gt;"",IF(L26&lt;&gt;"",IF(INPUT!$N$21="大脇・山下式2021",ROUND(L$18,1)-ROUND(L26,1)+ROUND(L$33,1)+ROUND(L$34,1)-ROUND(L$36,1)+ROUND(L$37,1)+ROUND(L$31,1)+152,ROUND(L$18,1)-ROUND(L26,1)+ROUND(L$33,1)+ROUND(L$34,1)-ROUND(L$36,1)+ROUND(L$37,1)+152),""),""),"")</f>
        <v/>
      </c>
      <c r="M38" s="1008"/>
      <c r="N38" s="1005" t="str">
        <f>IF(N$35&lt;&gt;"",IF(N$32&lt;&gt;"",IF(N26&lt;&gt;"",IF(INPUT!$N$21="大脇・山下式2021",ROUND(N$18,1)-ROUND(N26,1)+ROUND(N$33,1)+ROUND(N$34,1)-ROUND(N$36,1)+ROUND(N$37,1)+ROUND(N$31,1)+152,ROUND(N$18,1)-ROUND(N26,1)+ROUND(N$33,1)+ROUND(N$34,1)-ROUND(N$36,1)+ROUND(N$37,1)+152),""),""),"")</f>
        <v/>
      </c>
      <c r="O38" s="1008"/>
      <c r="P38" s="248"/>
      <c r="Q38" s="248"/>
      <c r="R38" s="268" t="s">
        <v>561</v>
      </c>
      <c r="S38" s="248"/>
      <c r="T38" s="248"/>
      <c r="U38" s="248"/>
      <c r="V38" s="248"/>
      <c r="W38" s="248"/>
      <c r="X38" s="248"/>
      <c r="Y38" s="248"/>
      <c r="Z38" s="248"/>
      <c r="AA38" s="248"/>
      <c r="AB38" s="248"/>
      <c r="AC38" s="248"/>
      <c r="AD38" s="248"/>
      <c r="AE38" s="248"/>
      <c r="AF38" s="248"/>
      <c r="AG38" s="248"/>
      <c r="AH38" s="248"/>
      <c r="AI38" s="249"/>
    </row>
    <row r="39" spans="1:37" ht="18" customHeight="1" x14ac:dyDescent="0.2">
      <c r="A39" s="246"/>
      <c r="B39" s="1026"/>
      <c r="C39" s="1027"/>
      <c r="D39" s="1027"/>
      <c r="E39" s="316" t="s">
        <v>40</v>
      </c>
      <c r="F39" s="971" t="e">
        <f>IF(F$35&lt;&gt;"",IF(F$32&lt;&gt;"",IF(F27&lt;&gt;"",IF(INPUT!$N$21="大脇・山下式2021",ROUND(F$18,1)-ROUND(F27,1)+ROUND(F$33,1)+ROUND(F$34,1)-ROUND(F$36,1)+ROUND(F$37,1)+ROUND(F$31,1)+152,ROUND(F$18,1)-ROUND(F27,1)+ROUND(F$33,1)+ROUND(F$34,1)-ROUND(F$36,1)+ROUND(F$37,1)+152),""),""),"")</f>
        <v>#REF!</v>
      </c>
      <c r="G39" s="970"/>
      <c r="H39" s="971" t="str">
        <f>IF(H$35&lt;&gt;"",IF(H$32&lt;&gt;"",IF(H27&lt;&gt;"",IF(INPUT!$N$21="大脇・山下式2021",ROUND(H$18,1)-ROUND(H27,1)+ROUND(H$33,1)+ROUND(H$34,1)-ROUND(H$36,1)+ROUND(H$37,1)+ROUND(H$31,1)+152,ROUND(H$18,1)-ROUND(H27,1)+ROUND(H$33,1)+ROUND(H$34,1)-ROUND(H$36,1)+ROUND(H$37,1)+152),""),""),"")</f>
        <v/>
      </c>
      <c r="I39" s="970"/>
      <c r="J39" s="969" t="str">
        <f>IF(J$35&lt;&gt;"",IF(J$32&lt;&gt;"",IF(J27&lt;&gt;"",IF(INPUT!$N$21="大脇・山下式2021",ROUND(J$18,1)-ROUND(J27,1)+ROUND(J$33,1)+ROUND(J$34,1)-ROUND(J$36,1)+ROUND(J$37,1)+ROUND(J$31,1)+152,ROUND(J$18,1)-ROUND(J27,1)+ROUND(J$33,1)+ROUND(J$34,1)-ROUND(J$36,1)+ROUND(J$37,1)+152),""),""),"")</f>
        <v/>
      </c>
      <c r="K39" s="1009"/>
      <c r="L39" s="971" t="str">
        <f>IF(L$35&lt;&gt;"",IF(L$32&lt;&gt;"",IF(L27&lt;&gt;"",IF(INPUT!$N$21="大脇・山下式2021",ROUND(L$18,1)-ROUND(L27,1)+ROUND(L$33,1)+ROUND(L$34,1)-ROUND(L$36,1)+ROUND(L$37,1)+ROUND(L$31,1)+152,ROUND(L$18,1)-ROUND(L27,1)+ROUND(L$33,1)+ROUND(L$34,1)-ROUND(L$36,1)+ROUND(L$37,1)+152),""),""),"")</f>
        <v/>
      </c>
      <c r="M39" s="1009"/>
      <c r="N39" s="971" t="str">
        <f>IF(N$35&lt;&gt;"",IF(N$32&lt;&gt;"",IF(N27&lt;&gt;"",IF(INPUT!$N$21="大脇・山下式2021",ROUND(N$18,1)-ROUND(N27,1)+ROUND(N$33,1)+ROUND(N$34,1)-ROUND(N$36,1)+ROUND(N$37,1)+ROUND(N$31,1)+152,ROUND(N$18,1)-ROUND(N27,1)+ROUND(N$33,1)+ROUND(N$34,1)-ROUND(N$36,1)+ROUND(N$37,1)+152),""),""),"")</f>
        <v/>
      </c>
      <c r="O39" s="1009"/>
      <c r="P39" s="248"/>
      <c r="Q39" s="248"/>
      <c r="R39" s="268" t="s">
        <v>436</v>
      </c>
      <c r="S39" s="248"/>
      <c r="T39" s="248"/>
      <c r="U39" s="248"/>
      <c r="V39" s="248"/>
      <c r="W39" s="248"/>
      <c r="X39" s="248"/>
      <c r="Y39" s="248"/>
      <c r="Z39" s="248"/>
      <c r="AA39" s="248"/>
      <c r="AB39" s="248"/>
      <c r="AC39" s="248"/>
      <c r="AD39" s="248"/>
      <c r="AE39" s="248"/>
      <c r="AF39" s="248"/>
      <c r="AG39" s="248"/>
      <c r="AH39" s="248"/>
      <c r="AI39" s="249"/>
      <c r="AK39" s="6"/>
    </row>
    <row r="40" spans="1:37" ht="18" customHeight="1" x14ac:dyDescent="0.2">
      <c r="A40" s="246"/>
      <c r="B40" s="1026"/>
      <c r="C40" s="1027"/>
      <c r="D40" s="1027"/>
      <c r="E40" s="316" t="s">
        <v>41</v>
      </c>
      <c r="F40" s="971" t="e">
        <f>IF(F$35&lt;&gt;"",IF(F$32&lt;&gt;"",IF(F28&lt;&gt;"",IF(INPUT!$N$21="大脇・山下式2021",ROUND(F$18,1)-ROUND(F28,1)+ROUND(F$33,1)+ROUND(F$34,1)-ROUND(F$36,1)+ROUND(F$37,1)+ROUND(F$31,1)+152,ROUND(F$18,1)-ROUND(F28,1)+ROUND(F$33,1)+ROUND(F$34,1)-ROUND(F$36,1)+ROUND(F$37,1)+152),""),""),"")</f>
        <v>#REF!</v>
      </c>
      <c r="G40" s="970"/>
      <c r="H40" s="971" t="e">
        <f>IF(H$35&lt;&gt;"",IF(H$32&lt;&gt;"",IF(H28&lt;&gt;"",IF(INPUT!$N$21="大脇・山下式2021",ROUND(H$18,1)-ROUND(H28,1)+ROUND(H$33,1)+ROUND(H$34,1)-ROUND(H$36,1)+ROUND(H$37,1)+ROUND(H$31,1)+152,ROUND(H$18,1)-ROUND(H28,1)+ROUND(H$33,1)+ROUND(H$34,1)-ROUND(H$36,1)+ROUND(H$37,1)+152),""),""),"")</f>
        <v>#VALUE!</v>
      </c>
      <c r="I40" s="970"/>
      <c r="J40" s="969" t="e">
        <f>IF(J$35&lt;&gt;"",IF(J$32&lt;&gt;"",IF(J28&lt;&gt;"",IF(INPUT!$N$21="大脇・山下式2021",ROUND(J$18,1)-ROUND(J28,1)+ROUND(J$33,1)+ROUND(J$34,1)-ROUND(J$36,1)+ROUND(J$37,1)+ROUND(J$31,1)+152,ROUND(J$18,1)-ROUND(J28,1)+ROUND(J$33,1)+ROUND(J$34,1)-ROUND(J$36,1)+ROUND(J$37,1)+152),""),""),"")</f>
        <v>#VALUE!</v>
      </c>
      <c r="K40" s="1009"/>
      <c r="L40" s="971" t="e">
        <f>IF(L$35&lt;&gt;"",IF(L$32&lt;&gt;"",IF(L28&lt;&gt;"",IF(INPUT!$N$21="大脇・山下式2021",ROUND(L$18,1)-ROUND(L28,1)+ROUND(L$33,1)+ROUND(L$34,1)-ROUND(L$36,1)+ROUND(L$37,1)+ROUND(L$31,1)+152,ROUND(L$18,1)-ROUND(L28,1)+ROUND(L$33,1)+ROUND(L$34,1)-ROUND(L$36,1)+ROUND(L$37,1)+152),""),""),"")</f>
        <v>#VALUE!</v>
      </c>
      <c r="M40" s="1009"/>
      <c r="N40" s="971" t="e">
        <f>IF(N$35&lt;&gt;"",IF(N$32&lt;&gt;"",IF(N28&lt;&gt;"",IF(INPUT!$N$21="大脇・山下式2021",ROUND(N$18,1)-ROUND(N28,1)+ROUND(N$33,1)+ROUND(N$34,1)-ROUND(N$36,1)+ROUND(N$37,1)+ROUND(N$31,1)+152,ROUND(N$18,1)-ROUND(N28,1)+ROUND(N$33,1)+ROUND(N$34,1)-ROUND(N$36,1)+ROUND(N$37,1)+152),""),""),"")</f>
        <v>#VALUE!</v>
      </c>
      <c r="O40" s="1009"/>
      <c r="P40" s="248"/>
      <c r="Q40" s="248"/>
      <c r="R40" s="268" t="s">
        <v>435</v>
      </c>
      <c r="S40" s="248"/>
      <c r="T40" s="248"/>
      <c r="U40" s="248"/>
      <c r="V40" s="248"/>
      <c r="W40" s="248"/>
      <c r="X40" s="248"/>
      <c r="Y40" s="248"/>
      <c r="Z40" s="248"/>
      <c r="AA40" s="248"/>
      <c r="AB40" s="248"/>
      <c r="AC40" s="248"/>
      <c r="AD40" s="248"/>
      <c r="AE40" s="248"/>
      <c r="AF40" s="248"/>
      <c r="AG40" s="248"/>
      <c r="AH40" s="248"/>
      <c r="AI40" s="249"/>
    </row>
    <row r="41" spans="1:37" ht="18" customHeight="1" x14ac:dyDescent="0.2">
      <c r="A41" s="246"/>
      <c r="B41" s="1026"/>
      <c r="C41" s="1027"/>
      <c r="D41" s="1027"/>
      <c r="E41" s="316" t="s">
        <v>118</v>
      </c>
      <c r="F41" s="971" t="e">
        <f>IF(F$35&lt;&gt;"",IF(F$32&lt;&gt;"",IF(F29&lt;&gt;"",IF(INPUT!$N$21="大脇・山下式2021",ROUND(F$18,1)-ROUND(F29,1)+ROUND(F$33,1)+ROUND(F$34,1)-ROUND(F$36,1)+ROUND(F$37,1)+ROUND(F$31,1)+152,ROUND(F$18,1)-ROUND(F29,1)+ROUND(F$33,1)+ROUND(F$34,1)-ROUND(F$36,1)+ROUND(F$37,1)+152),""),""),"")</f>
        <v>#REF!</v>
      </c>
      <c r="G41" s="970"/>
      <c r="H41" s="971" t="e">
        <f>IF(H$35&lt;&gt;"",IF(H$32&lt;&gt;"",IF(H29&lt;&gt;"",IF(INPUT!$N$21="大脇・山下式2021",ROUND(H$18,1)-ROUND(H29,1)+ROUND(H$33,1)+ROUND(H$34,1)-ROUND(H$36,1)+ROUND(H$37,1)+ROUND(H$31,1)+152,ROUND(H$18,1)-ROUND(H29,1)+ROUND(H$33,1)+ROUND(H$34,1)-ROUND(H$36,1)+ROUND(H$37,1)+152),""),""),"")</f>
        <v>#VALUE!</v>
      </c>
      <c r="I41" s="970"/>
      <c r="J41" s="969" t="e">
        <f>IF(J$35&lt;&gt;"",IF(J$32&lt;&gt;"",IF(J29&lt;&gt;"",IF(INPUT!$N$21="大脇・山下式2021",ROUND(J$18,1)-ROUND(J29,1)+ROUND(J$33,1)+ROUND(J$34,1)-ROUND(J$36,1)+ROUND(J$37,1)+ROUND(J$31,1)+152,ROUND(J$18,1)-ROUND(J29,1)+ROUND(J$33,1)+ROUND(J$34,1)-ROUND(J$36,1)+ROUND(J$37,1)+152),""),""),"")</f>
        <v>#VALUE!</v>
      </c>
      <c r="K41" s="1009"/>
      <c r="L41" s="971" t="e">
        <f>IF(L$35&lt;&gt;"",IF(L$32&lt;&gt;"",IF(L29&lt;&gt;"",IF(INPUT!$N$21="大脇・山下式2021",ROUND(L$18,1)-ROUND(L29,1)+ROUND(L$33,1)+ROUND(L$34,1)-ROUND(L$36,1)+ROUND(L$37,1)+ROUND(L$31,1)+152,ROUND(L$18,1)-ROUND(L29,1)+ROUND(L$33,1)+ROUND(L$34,1)-ROUND(L$36,1)+ROUND(L$37,1)+152),""),""),"")</f>
        <v>#VALUE!</v>
      </c>
      <c r="M41" s="1009"/>
      <c r="N41" s="971" t="e">
        <f>IF(N$35&lt;&gt;"",IF(N$32&lt;&gt;"",IF(N29&lt;&gt;"",IF(INPUT!$N$21="大脇・山下式2021",ROUND(N$18,1)-ROUND(N29,1)+ROUND(N$33,1)+ROUND(N$34,1)-ROUND(N$36,1)+ROUND(N$37,1)+ROUND(N$31,1)+152,ROUND(N$18,1)-ROUND(N29,1)+ROUND(N$33,1)+ROUND(N$34,1)-ROUND(N$36,1)+ROUND(N$37,1)+152),""),""),"")</f>
        <v>#VALUE!</v>
      </c>
      <c r="O41" s="1009"/>
      <c r="P41" s="248"/>
      <c r="Q41" s="248"/>
      <c r="R41" s="268" t="s">
        <v>564</v>
      </c>
      <c r="S41" s="248"/>
      <c r="T41" s="248"/>
      <c r="U41" s="248"/>
      <c r="V41" s="248"/>
      <c r="W41" s="248"/>
      <c r="X41" s="248"/>
      <c r="Y41" s="248"/>
      <c r="Z41" s="248"/>
      <c r="AA41" s="248"/>
      <c r="AB41" s="248"/>
      <c r="AC41" s="248"/>
      <c r="AD41" s="248"/>
      <c r="AE41" s="248"/>
      <c r="AF41" s="248"/>
      <c r="AG41" s="248"/>
      <c r="AH41" s="248"/>
      <c r="AI41" s="249"/>
    </row>
    <row r="42" spans="1:37" ht="18" customHeight="1" x14ac:dyDescent="0.2">
      <c r="A42" s="246"/>
      <c r="B42" s="1028"/>
      <c r="C42" s="1029"/>
      <c r="D42" s="1029"/>
      <c r="E42" s="317" t="s">
        <v>43</v>
      </c>
      <c r="F42" s="1010" t="e">
        <f>IF(F$35&lt;&gt;"",IF(F$32&lt;&gt;"",IF(F30&lt;&gt;"",IF(INPUT!$N$21="大脇・山下式2021",ROUND(F$18,1)-ROUND(F30,1)+ROUND(F$33,1)+ROUND(F$34,1)-ROUND(F$36,1)+ROUND(F$37,1)+ROUND(F$31,1)+152,ROUND(F$18,1)-ROUND(F30,1)+ROUND(F$33,1)+ROUND(F$34,1)-ROUND(F$36,1)+ROUND(F$37,1)+152),""),""),"")</f>
        <v>#REF!</v>
      </c>
      <c r="G42" s="1011"/>
      <c r="H42" s="1010" t="e">
        <f>IF(H$35&lt;&gt;"",IF(H$32&lt;&gt;"",IF(H30&lt;&gt;"",IF(INPUT!$N$21="大脇・山下式2021",ROUND(H$18,1)-ROUND(H30,1)+ROUND(H$33,1)+ROUND(H$34,1)-ROUND(H$36,1)+ROUND(H$37,1)+ROUND(H$31,1)+152,ROUND(H$18,1)-ROUND(H30,1)+ROUND(H$33,1)+ROUND(H$34,1)-ROUND(H$36,1)+ROUND(H$37,1)+152),""),""),"")</f>
        <v>#VALUE!</v>
      </c>
      <c r="I42" s="1011"/>
      <c r="J42" s="1012" t="e">
        <f>IF(J$35&lt;&gt;"",IF(J$32&lt;&gt;"",IF(J30&lt;&gt;"",IF(INPUT!$N$21="大脇・山下式2021",ROUND(J$18,1)-ROUND(J30,1)+ROUND(J$33,1)+ROUND(J$34,1)-ROUND(J$36,1)+ROUND(J$37,1)+ROUND(J$31,1)+152,ROUND(J$18,1)-ROUND(J30,1)+ROUND(J$33,1)+ROUND(J$34,1)-ROUND(J$36,1)+ROUND(J$37,1)+152),""),""),"")</f>
        <v>#VALUE!</v>
      </c>
      <c r="K42" s="1013"/>
      <c r="L42" s="1010" t="e">
        <f>IF(L$35&lt;&gt;"",IF(L$32&lt;&gt;"",IF(L30&lt;&gt;"",IF(INPUT!$N$21="大脇・山下式2021",ROUND(L$18,1)-ROUND(L30,1)+ROUND(L$33,1)+ROUND(L$34,1)-ROUND(L$36,1)+ROUND(L$37,1)+ROUND(L$31,1)+152,ROUND(L$18,1)-ROUND(L30,1)+ROUND(L$33,1)+ROUND(L$34,1)-ROUND(L$36,1)+ROUND(L$37,1)+152),""),""),"")</f>
        <v>#VALUE!</v>
      </c>
      <c r="M42" s="1013"/>
      <c r="N42" s="1010" t="e">
        <f>IF(N$35&lt;&gt;"",IF(N$32&lt;&gt;"",IF(N30&lt;&gt;"",IF(INPUT!$N$21="大脇・山下式2021",ROUND(N$18,1)-ROUND(N30,1)+ROUND(N$33,1)+ROUND(N$34,1)-ROUND(N$36,1)+ROUND(N$37,1)+ROUND(N$31,1)+152,ROUND(N$18,1)-ROUND(N30,1)+ROUND(N$33,1)+ROUND(N$34,1)-ROUND(N$36,1)+ROUND(N$37,1)+152),""),""),"")</f>
        <v>#VALUE!</v>
      </c>
      <c r="O42" s="1013"/>
      <c r="P42" s="248"/>
      <c r="Q42" s="248"/>
      <c r="R42" s="268" t="s">
        <v>467</v>
      </c>
      <c r="S42" s="248"/>
      <c r="T42" s="248"/>
      <c r="U42" s="248"/>
      <c r="V42" s="248"/>
      <c r="W42" s="248"/>
      <c r="X42" s="248"/>
      <c r="Y42" s="248"/>
      <c r="Z42" s="248"/>
      <c r="AA42" s="248"/>
      <c r="AB42" s="248"/>
      <c r="AC42" s="248"/>
      <c r="AD42" s="248"/>
      <c r="AE42" s="248"/>
      <c r="AF42" s="248"/>
      <c r="AG42" s="248"/>
      <c r="AH42" s="248"/>
      <c r="AI42" s="249"/>
    </row>
    <row r="43" spans="1:37" ht="18" customHeight="1" x14ac:dyDescent="0.2">
      <c r="A43" s="246"/>
      <c r="B43" s="1031" t="s">
        <v>297</v>
      </c>
      <c r="C43" s="1032"/>
      <c r="D43" s="1032"/>
      <c r="E43" s="1032"/>
      <c r="F43" s="1033" t="str">
        <f>IF(COUNT(E38:F42)&gt;=3,ROUND(AVERAGE(E38:F42),0),"")</f>
        <v/>
      </c>
      <c r="G43" s="1034"/>
      <c r="H43" s="1033" t="str">
        <f>IF(COUNT(G38:H42)&gt;=3,ROUND(AVERAGE(G38:H42),0),"")</f>
        <v/>
      </c>
      <c r="I43" s="1034"/>
      <c r="J43" s="1035" t="str">
        <f>IF(COUNT(J38:K42)&gt;=3,ROUND(AVERAGE(J38:K42),0),"")</f>
        <v/>
      </c>
      <c r="K43" s="1035"/>
      <c r="L43" s="1036" t="str">
        <f>IF(COUNT(L38:M42)&gt;=3,ROUND(AVERAGE(L38:M42),0),"")</f>
        <v/>
      </c>
      <c r="M43" s="1037"/>
      <c r="N43" s="1036" t="str">
        <f>IF(COUNT(N38:O42)&gt;=3,ROUND(AVERAGE(N38:O42),0),"")</f>
        <v/>
      </c>
      <c r="O43" s="1037"/>
      <c r="P43" s="248"/>
      <c r="Q43" s="248"/>
      <c r="R43" s="268" t="s">
        <v>565</v>
      </c>
      <c r="S43" s="248"/>
      <c r="T43" s="248"/>
      <c r="U43" s="248"/>
      <c r="V43" s="248"/>
      <c r="W43" s="248"/>
      <c r="X43" s="248"/>
      <c r="Y43" s="248"/>
      <c r="Z43" s="248"/>
      <c r="AA43" s="248"/>
      <c r="AB43" s="248"/>
      <c r="AC43" s="248"/>
      <c r="AD43" s="248"/>
      <c r="AE43" s="248"/>
      <c r="AF43" s="248"/>
      <c r="AG43" s="248"/>
      <c r="AH43" s="248"/>
      <c r="AI43" s="249"/>
    </row>
    <row r="44" spans="1:37" ht="19.5" customHeight="1" x14ac:dyDescent="0.2">
      <c r="A44" s="246"/>
      <c r="B44" s="1038" t="s">
        <v>432</v>
      </c>
      <c r="C44" s="1039"/>
      <c r="D44" s="1039"/>
      <c r="E44" s="1039"/>
      <c r="F44" s="1048" t="str">
        <f>IF(H43&lt;&gt;"",MAX(ROUNDUP(H43-23,0),ROUNDUP(J43-13,0),ROUNDUP(L43-6,0),ROUNDUP(N43,0)),"")</f>
        <v/>
      </c>
      <c r="G44" s="1048"/>
      <c r="H44" s="1048"/>
      <c r="I44" s="1048"/>
      <c r="J44" s="1048"/>
      <c r="K44" s="1048"/>
      <c r="L44" s="1048"/>
      <c r="M44" s="1048"/>
      <c r="N44" s="1048"/>
      <c r="O44" s="1048"/>
      <c r="P44" s="248"/>
      <c r="Q44" s="248"/>
      <c r="R44" s="268" t="s">
        <v>566</v>
      </c>
      <c r="S44" s="248"/>
      <c r="T44" s="248"/>
      <c r="U44" s="248"/>
      <c r="V44" s="248"/>
      <c r="W44" s="248"/>
      <c r="X44" s="248"/>
      <c r="Y44" s="248"/>
      <c r="Z44" s="248"/>
      <c r="AA44" s="248"/>
      <c r="AB44" s="248"/>
      <c r="AC44" s="248"/>
      <c r="AD44" s="248"/>
      <c r="AE44" s="248"/>
      <c r="AF44" s="248"/>
      <c r="AG44" s="248"/>
      <c r="AH44" s="248"/>
      <c r="AI44" s="249"/>
    </row>
    <row r="45" spans="1:37" ht="16.899999999999999" customHeight="1" x14ac:dyDescent="0.15">
      <c r="A45" s="246"/>
      <c r="B45" s="269"/>
      <c r="C45" s="269"/>
      <c r="D45" s="269"/>
      <c r="E45" s="269"/>
      <c r="F45" s="269"/>
      <c r="G45" s="269"/>
      <c r="H45" s="269"/>
      <c r="I45" s="269"/>
      <c r="J45" s="269"/>
      <c r="K45" s="269"/>
      <c r="L45" s="269"/>
      <c r="M45" s="269"/>
      <c r="N45" s="269"/>
      <c r="O45" s="269"/>
      <c r="P45" s="248"/>
      <c r="Q45" s="248"/>
      <c r="R45" s="8"/>
      <c r="S45" s="8"/>
      <c r="T45" s="8"/>
      <c r="U45" s="8"/>
      <c r="V45" s="8"/>
      <c r="W45" s="8"/>
      <c r="X45" s="8"/>
      <c r="Y45" s="8"/>
      <c r="Z45" s="248"/>
      <c r="AA45" s="248"/>
      <c r="AB45" s="248"/>
      <c r="AC45" s="248"/>
      <c r="AD45" s="1030">
        <f>INPUT!AC56</f>
        <v>0</v>
      </c>
      <c r="AE45" s="1030"/>
      <c r="AF45" s="1030"/>
      <c r="AG45" s="1030"/>
      <c r="AH45" s="1030"/>
      <c r="AI45" s="249"/>
    </row>
    <row r="46" spans="1:37" ht="6.75" customHeight="1" thickBot="1" x14ac:dyDescent="0.25">
      <c r="A46" s="271"/>
      <c r="B46" s="272"/>
      <c r="C46" s="272"/>
      <c r="D46" s="272"/>
      <c r="E46" s="272"/>
      <c r="F46" s="273"/>
      <c r="G46" s="273"/>
      <c r="H46" s="273"/>
      <c r="I46" s="273"/>
      <c r="J46" s="273"/>
      <c r="K46" s="273"/>
      <c r="L46" s="273"/>
      <c r="M46" s="273"/>
      <c r="N46" s="273"/>
      <c r="O46" s="273"/>
      <c r="P46" s="274"/>
      <c r="Q46" s="274"/>
      <c r="R46" s="274"/>
      <c r="S46" s="274"/>
      <c r="T46" s="274"/>
      <c r="U46" s="274"/>
      <c r="V46" s="274"/>
      <c r="W46" s="274"/>
      <c r="X46" s="274"/>
      <c r="Y46" s="274"/>
      <c r="Z46" s="274"/>
      <c r="AA46" s="274"/>
      <c r="AB46" s="274"/>
      <c r="AC46" s="274"/>
      <c r="AD46" s="274"/>
      <c r="AE46" s="274"/>
      <c r="AF46" s="274"/>
      <c r="AG46" s="274"/>
      <c r="AH46" s="274"/>
      <c r="AI46" s="275"/>
    </row>
  </sheetData>
  <sheetProtection algorithmName="SHA-512" hashValue="6xOUsQDtWBFJMAuQqBgNWcNQA+5UfaWBs4qrRKhKYpFa2b4CW7OIO26v9DlxMn/+doZG/WwBKbWc1LeV5JxMtg==" saltValue="fTAbCjktrhFYUOPFlRGBgQ==" spinCount="100000" sheet="1" objects="1" scenarios="1"/>
  <protectedRanges>
    <protectedRange sqref="AG3" name="範囲1"/>
  </protectedRanges>
  <mergeCells count="180">
    <mergeCell ref="B6:D6"/>
    <mergeCell ref="F6:O6"/>
    <mergeCell ref="B7:D7"/>
    <mergeCell ref="F7:O7"/>
    <mergeCell ref="B8:C8"/>
    <mergeCell ref="D8:H8"/>
    <mergeCell ref="B2:O2"/>
    <mergeCell ref="R2:AH2"/>
    <mergeCell ref="AG3:AH3"/>
    <mergeCell ref="B4:O4"/>
    <mergeCell ref="B5:D5"/>
    <mergeCell ref="F5:O5"/>
    <mergeCell ref="I8:K8"/>
    <mergeCell ref="L11:O11"/>
    <mergeCell ref="E12:F12"/>
    <mergeCell ref="B13:C13"/>
    <mergeCell ref="B14:C14"/>
    <mergeCell ref="F14:H14"/>
    <mergeCell ref="B9:C9"/>
    <mergeCell ref="B10:C10"/>
    <mergeCell ref="B11:C11"/>
    <mergeCell ref="E11:F11"/>
    <mergeCell ref="I9:K9"/>
    <mergeCell ref="I10:K10"/>
    <mergeCell ref="I11:K11"/>
    <mergeCell ref="I12:O12"/>
    <mergeCell ref="B18:E18"/>
    <mergeCell ref="J18:K18"/>
    <mergeCell ref="L18:M18"/>
    <mergeCell ref="N18:O18"/>
    <mergeCell ref="B19:E19"/>
    <mergeCell ref="J19:K19"/>
    <mergeCell ref="L19:M19"/>
    <mergeCell ref="N19:O19"/>
    <mergeCell ref="B16:O16"/>
    <mergeCell ref="B17:E17"/>
    <mergeCell ref="J17:K17"/>
    <mergeCell ref="L17:M17"/>
    <mergeCell ref="N17:O17"/>
    <mergeCell ref="F17:G17"/>
    <mergeCell ref="F18:G18"/>
    <mergeCell ref="F19:G19"/>
    <mergeCell ref="H17:I17"/>
    <mergeCell ref="H18:I18"/>
    <mergeCell ref="H19:I19"/>
    <mergeCell ref="J24:K24"/>
    <mergeCell ref="L24:M24"/>
    <mergeCell ref="N24:O24"/>
    <mergeCell ref="B25:E25"/>
    <mergeCell ref="J25:K25"/>
    <mergeCell ref="L25:M25"/>
    <mergeCell ref="N25:O25"/>
    <mergeCell ref="H25:I25"/>
    <mergeCell ref="J22:K22"/>
    <mergeCell ref="L22:M22"/>
    <mergeCell ref="N22:O22"/>
    <mergeCell ref="J23:K23"/>
    <mergeCell ref="L23:M23"/>
    <mergeCell ref="N23:O23"/>
    <mergeCell ref="B20:D24"/>
    <mergeCell ref="J20:K20"/>
    <mergeCell ref="L20:M20"/>
    <mergeCell ref="N20:O20"/>
    <mergeCell ref="J21:K21"/>
    <mergeCell ref="L21:M21"/>
    <mergeCell ref="N21:O21"/>
    <mergeCell ref="F20:G20"/>
    <mergeCell ref="F21:G21"/>
    <mergeCell ref="F22:G22"/>
    <mergeCell ref="J28:K28"/>
    <mergeCell ref="L28:M28"/>
    <mergeCell ref="N28:O28"/>
    <mergeCell ref="J29:K29"/>
    <mergeCell ref="L29:M29"/>
    <mergeCell ref="N29:O29"/>
    <mergeCell ref="B26:D30"/>
    <mergeCell ref="J26:K26"/>
    <mergeCell ref="L26:M26"/>
    <mergeCell ref="N26:O26"/>
    <mergeCell ref="J27:K27"/>
    <mergeCell ref="L27:M27"/>
    <mergeCell ref="N27:O27"/>
    <mergeCell ref="H26:I26"/>
    <mergeCell ref="H27:I27"/>
    <mergeCell ref="H28:I28"/>
    <mergeCell ref="J33:K33"/>
    <mergeCell ref="L33:M33"/>
    <mergeCell ref="N33:O33"/>
    <mergeCell ref="J30:K30"/>
    <mergeCell ref="L30:M30"/>
    <mergeCell ref="N30:O30"/>
    <mergeCell ref="B31:E31"/>
    <mergeCell ref="J31:K31"/>
    <mergeCell ref="L31:M31"/>
    <mergeCell ref="N31:O31"/>
    <mergeCell ref="F30:G30"/>
    <mergeCell ref="B32:E32"/>
    <mergeCell ref="J32:K32"/>
    <mergeCell ref="L32:M32"/>
    <mergeCell ref="N32:O32"/>
    <mergeCell ref="B33:E33"/>
    <mergeCell ref="J42:K42"/>
    <mergeCell ref="L42:M42"/>
    <mergeCell ref="N42:O42"/>
    <mergeCell ref="J40:K40"/>
    <mergeCell ref="L40:M40"/>
    <mergeCell ref="N40:O40"/>
    <mergeCell ref="J41:K41"/>
    <mergeCell ref="L41:M41"/>
    <mergeCell ref="N41:O41"/>
    <mergeCell ref="H20:I20"/>
    <mergeCell ref="H21:I21"/>
    <mergeCell ref="H22:I22"/>
    <mergeCell ref="H23:I23"/>
    <mergeCell ref="H24:I24"/>
    <mergeCell ref="H32:I32"/>
    <mergeCell ref="H33:I33"/>
    <mergeCell ref="H34:I34"/>
    <mergeCell ref="H38:I38"/>
    <mergeCell ref="H29:I29"/>
    <mergeCell ref="H30:I30"/>
    <mergeCell ref="H31:I31"/>
    <mergeCell ref="H39:I39"/>
    <mergeCell ref="H40:I40"/>
    <mergeCell ref="H36:I36"/>
    <mergeCell ref="H37:I37"/>
    <mergeCell ref="B44:E44"/>
    <mergeCell ref="F44:O44"/>
    <mergeCell ref="AD45:AH45"/>
    <mergeCell ref="B43:E43"/>
    <mergeCell ref="J43:K43"/>
    <mergeCell ref="L43:M43"/>
    <mergeCell ref="N43:O43"/>
    <mergeCell ref="F43:G43"/>
    <mergeCell ref="B38:D42"/>
    <mergeCell ref="H43:I43"/>
    <mergeCell ref="H41:I41"/>
    <mergeCell ref="H42:I42"/>
    <mergeCell ref="J38:K38"/>
    <mergeCell ref="L38:M38"/>
    <mergeCell ref="N38:O38"/>
    <mergeCell ref="J39:K39"/>
    <mergeCell ref="L39:M39"/>
    <mergeCell ref="N39:O39"/>
    <mergeCell ref="J36:K36"/>
    <mergeCell ref="B36:E36"/>
    <mergeCell ref="N36:O36"/>
    <mergeCell ref="B37:E37"/>
    <mergeCell ref="J37:K37"/>
    <mergeCell ref="L37:M37"/>
    <mergeCell ref="N37:O37"/>
    <mergeCell ref="L36:M36"/>
    <mergeCell ref="H35:I35"/>
    <mergeCell ref="B34:E34"/>
    <mergeCell ref="J34:K34"/>
    <mergeCell ref="L34:M34"/>
    <mergeCell ref="N34:O34"/>
    <mergeCell ref="B35:E35"/>
    <mergeCell ref="J35:K35"/>
    <mergeCell ref="L35:M35"/>
    <mergeCell ref="N35:O35"/>
    <mergeCell ref="F23:G23"/>
    <mergeCell ref="F37:G37"/>
    <mergeCell ref="F38:G38"/>
    <mergeCell ref="F39:G39"/>
    <mergeCell ref="F40:G40"/>
    <mergeCell ref="F41:G41"/>
    <mergeCell ref="F42:G42"/>
    <mergeCell ref="F31:G31"/>
    <mergeCell ref="F32:G32"/>
    <mergeCell ref="F33:G33"/>
    <mergeCell ref="F34:G34"/>
    <mergeCell ref="F35:G35"/>
    <mergeCell ref="F36:G36"/>
    <mergeCell ref="F24:G24"/>
    <mergeCell ref="F25:G25"/>
    <mergeCell ref="F26:G26"/>
    <mergeCell ref="F27:G27"/>
    <mergeCell ref="F28:G28"/>
    <mergeCell ref="F29:G29"/>
  </mergeCells>
  <phoneticPr fontId="2"/>
  <printOptions horizontalCentered="1" verticalCentered="1"/>
  <pageMargins left="0.35433070866141736" right="0.35433070866141736" top="0.27559055118110237" bottom="0.31496062992125984" header="0.31496062992125984" footer="0.39370078740157483"/>
  <pageSetup paperSize="9" scale="6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0"/>
  </sheetPr>
  <dimension ref="A1:AP772"/>
  <sheetViews>
    <sheetView topLeftCell="A160" workbookViewId="0">
      <selection activeCell="O177" sqref="O177"/>
    </sheetView>
  </sheetViews>
  <sheetFormatPr defaultColWidth="8.85546875" defaultRowHeight="11.25" x14ac:dyDescent="0.2"/>
  <cols>
    <col min="1" max="13" width="7.28515625" style="11" customWidth="1"/>
    <col min="14" max="235" width="7.42578125" style="11" customWidth="1"/>
    <col min="236" max="16384" width="8.85546875" style="11"/>
  </cols>
  <sheetData>
    <row r="1" spans="1:17" ht="13.5" thickBot="1" x14ac:dyDescent="0.25">
      <c r="A1" s="1241" t="s">
        <v>410</v>
      </c>
      <c r="B1" s="1242"/>
      <c r="C1" s="1242"/>
      <c r="D1" s="1242"/>
      <c r="E1" s="1242"/>
      <c r="F1" s="1242"/>
      <c r="G1" s="1242"/>
      <c r="H1" s="1242"/>
      <c r="I1" s="1242"/>
      <c r="J1" s="1242"/>
      <c r="K1" s="1242"/>
      <c r="L1" s="1242"/>
      <c r="M1" s="1243"/>
    </row>
    <row r="2" spans="1:17" x14ac:dyDescent="0.2">
      <c r="A2" s="1336" t="s">
        <v>89</v>
      </c>
      <c r="B2" s="1337"/>
      <c r="C2" s="1337"/>
      <c r="D2" s="1337"/>
      <c r="E2" s="1337"/>
      <c r="F2" s="147">
        <v>31.5</v>
      </c>
      <c r="G2" s="148">
        <v>63</v>
      </c>
      <c r="H2" s="148">
        <v>125</v>
      </c>
      <c r="I2" s="148">
        <v>250</v>
      </c>
      <c r="J2" s="148">
        <v>500</v>
      </c>
      <c r="K2" s="148">
        <v>1000</v>
      </c>
      <c r="L2" s="148">
        <v>2000</v>
      </c>
      <c r="M2" s="149">
        <v>4000</v>
      </c>
    </row>
    <row r="3" spans="1:17" x14ac:dyDescent="0.2">
      <c r="A3" s="1217" t="s">
        <v>88</v>
      </c>
      <c r="B3" s="1218"/>
      <c r="C3" s="1218"/>
      <c r="D3" s="1214" t="s">
        <v>193</v>
      </c>
      <c r="E3" s="1214"/>
      <c r="F3" s="195"/>
      <c r="G3" s="150">
        <v>44.7</v>
      </c>
      <c r="H3" s="150">
        <v>10</v>
      </c>
      <c r="I3" s="150">
        <v>5.6</v>
      </c>
      <c r="J3" s="150">
        <v>2.2000000000000002</v>
      </c>
      <c r="K3" s="150">
        <v>1</v>
      </c>
      <c r="L3" s="150">
        <v>1.1000000000000001</v>
      </c>
      <c r="M3" s="151">
        <v>0.9</v>
      </c>
    </row>
    <row r="4" spans="1:17" x14ac:dyDescent="0.2">
      <c r="A4" s="1219"/>
      <c r="B4" s="1218"/>
      <c r="C4" s="1218"/>
      <c r="D4" s="1214" t="s">
        <v>194</v>
      </c>
      <c r="E4" s="1214"/>
      <c r="F4" s="195"/>
      <c r="G4" s="150">
        <f>20*LOG(G3)</f>
        <v>33.006150462638729</v>
      </c>
      <c r="H4" s="150">
        <f t="shared" ref="H4:M4" si="0">20*LOG(H3)</f>
        <v>20</v>
      </c>
      <c r="I4" s="150">
        <f t="shared" si="0"/>
        <v>14.963760540124007</v>
      </c>
      <c r="J4" s="150">
        <f t="shared" si="0"/>
        <v>6.8484536164441252</v>
      </c>
      <c r="K4" s="150">
        <f t="shared" si="0"/>
        <v>0</v>
      </c>
      <c r="L4" s="150">
        <f t="shared" si="0"/>
        <v>0.82785370316450158</v>
      </c>
      <c r="M4" s="151">
        <f t="shared" si="0"/>
        <v>-0.91514981121350236</v>
      </c>
    </row>
    <row r="5" spans="1:17" x14ac:dyDescent="0.2">
      <c r="A5" s="1219"/>
      <c r="B5" s="1218"/>
      <c r="C5" s="1218"/>
      <c r="D5" s="1225" t="s">
        <v>195</v>
      </c>
      <c r="E5" s="1225"/>
      <c r="F5" s="220"/>
      <c r="G5" s="221">
        <v>33</v>
      </c>
      <c r="H5" s="221">
        <v>20</v>
      </c>
      <c r="I5" s="221">
        <v>15</v>
      </c>
      <c r="J5" s="221">
        <v>7</v>
      </c>
      <c r="K5" s="221">
        <v>0</v>
      </c>
      <c r="L5" s="221">
        <v>1</v>
      </c>
      <c r="M5" s="222">
        <v>-1</v>
      </c>
    </row>
    <row r="6" spans="1:17" x14ac:dyDescent="0.2">
      <c r="A6" s="1219" t="s">
        <v>381</v>
      </c>
      <c r="B6" s="1218"/>
      <c r="C6" s="1218"/>
      <c r="D6" s="1214" t="s">
        <v>196</v>
      </c>
      <c r="E6" s="1214"/>
      <c r="F6" s="196">
        <v>47</v>
      </c>
      <c r="G6" s="150">
        <v>40</v>
      </c>
      <c r="H6" s="150">
        <v>22</v>
      </c>
      <c r="I6" s="150">
        <v>11.5</v>
      </c>
      <c r="J6" s="150">
        <v>5.5</v>
      </c>
      <c r="K6" s="150"/>
      <c r="L6" s="150"/>
      <c r="M6" s="151"/>
    </row>
    <row r="7" spans="1:17" x14ac:dyDescent="0.2">
      <c r="A7" s="1223" t="s">
        <v>380</v>
      </c>
      <c r="B7" s="1224"/>
      <c r="C7" s="1224"/>
      <c r="D7" s="1214" t="s">
        <v>196</v>
      </c>
      <c r="E7" s="1214"/>
      <c r="F7" s="197">
        <v>39</v>
      </c>
      <c r="G7" s="152">
        <v>31</v>
      </c>
      <c r="H7" s="152">
        <v>23</v>
      </c>
      <c r="I7" s="152">
        <v>16</v>
      </c>
      <c r="J7" s="152">
        <v>11.5</v>
      </c>
      <c r="K7" s="152"/>
      <c r="L7" s="152"/>
      <c r="M7" s="153"/>
    </row>
    <row r="8" spans="1:17" x14ac:dyDescent="0.2">
      <c r="A8" s="1220" t="s">
        <v>382</v>
      </c>
      <c r="B8" s="1221"/>
      <c r="C8" s="1221"/>
      <c r="D8" s="1221"/>
      <c r="E8" s="1222"/>
      <c r="F8" s="191">
        <v>2</v>
      </c>
      <c r="G8" s="192">
        <f t="shared" ref="G8:M8" si="1">IF($F$8=1,G5,G6)</f>
        <v>40</v>
      </c>
      <c r="H8" s="192">
        <f t="shared" si="1"/>
        <v>22</v>
      </c>
      <c r="I8" s="192">
        <f t="shared" si="1"/>
        <v>11.5</v>
      </c>
      <c r="J8" s="192">
        <f t="shared" si="1"/>
        <v>5.5</v>
      </c>
      <c r="K8" s="192">
        <f t="shared" si="1"/>
        <v>0</v>
      </c>
      <c r="L8" s="192">
        <f t="shared" si="1"/>
        <v>0</v>
      </c>
      <c r="M8" s="193">
        <f t="shared" si="1"/>
        <v>0</v>
      </c>
    </row>
    <row r="9" spans="1:17" x14ac:dyDescent="0.2">
      <c r="A9" s="1215" t="s">
        <v>90</v>
      </c>
      <c r="B9" s="1216"/>
      <c r="C9" s="1216"/>
      <c r="D9" s="1216"/>
      <c r="E9" s="1216"/>
      <c r="F9" s="154"/>
      <c r="G9" s="155">
        <v>63</v>
      </c>
      <c r="H9" s="155">
        <v>125</v>
      </c>
      <c r="I9" s="155">
        <v>250</v>
      </c>
      <c r="J9" s="155">
        <v>500</v>
      </c>
      <c r="K9" s="155">
        <v>1000</v>
      </c>
      <c r="L9" s="155">
        <v>2000</v>
      </c>
      <c r="M9" s="156">
        <v>4000</v>
      </c>
    </row>
    <row r="10" spans="1:17" x14ac:dyDescent="0.2">
      <c r="A10" s="1319" t="s">
        <v>88</v>
      </c>
      <c r="B10" s="1320"/>
      <c r="C10" s="1320"/>
      <c r="D10" s="1333" t="s">
        <v>195</v>
      </c>
      <c r="E10" s="1334"/>
      <c r="F10" s="1334"/>
      <c r="G10" s="198">
        <v>20.3</v>
      </c>
      <c r="H10" s="199">
        <v>23.8</v>
      </c>
      <c r="I10" s="199">
        <v>26.8</v>
      </c>
      <c r="J10" s="200">
        <v>29.7</v>
      </c>
      <c r="K10" s="599">
        <v>32.299999999999997</v>
      </c>
      <c r="L10" s="599">
        <v>33.5</v>
      </c>
      <c r="M10" s="201">
        <v>30</v>
      </c>
    </row>
    <row r="11" spans="1:17" ht="12" thickBot="1" x14ac:dyDescent="0.25">
      <c r="A11" s="1268" t="s">
        <v>383</v>
      </c>
      <c r="B11" s="1324"/>
      <c r="C11" s="1324"/>
      <c r="D11" s="1325" t="s">
        <v>196</v>
      </c>
      <c r="E11" s="1325"/>
      <c r="F11" s="202"/>
      <c r="G11" s="205">
        <v>20.8</v>
      </c>
      <c r="H11" s="203">
        <v>23.8</v>
      </c>
      <c r="I11" s="203">
        <v>26.8</v>
      </c>
      <c r="J11" s="204">
        <v>29.7</v>
      </c>
      <c r="K11" s="606">
        <v>32.299999999999997</v>
      </c>
      <c r="L11" s="606">
        <v>33.5</v>
      </c>
      <c r="M11" s="621">
        <v>30</v>
      </c>
    </row>
    <row r="12" spans="1:17" ht="13.5" thickBot="1" x14ac:dyDescent="0.25">
      <c r="A12" s="1200" t="s">
        <v>411</v>
      </c>
      <c r="B12" s="1226"/>
      <c r="C12" s="1226"/>
      <c r="D12" s="1226"/>
      <c r="E12" s="1226"/>
      <c r="F12" s="1226"/>
      <c r="G12" s="1226"/>
      <c r="H12" s="1226"/>
      <c r="I12" s="1226"/>
      <c r="J12" s="1226"/>
      <c r="K12" s="1226"/>
      <c r="L12" s="1226"/>
      <c r="M12" s="1227"/>
    </row>
    <row r="13" spans="1:17" ht="15" x14ac:dyDescent="0.25">
      <c r="A13" s="616" t="s">
        <v>141</v>
      </c>
      <c r="B13" s="592"/>
      <c r="C13" s="592"/>
      <c r="D13" s="592"/>
      <c r="E13" s="592"/>
      <c r="F13" s="592"/>
      <c r="G13" s="1228" t="s">
        <v>18</v>
      </c>
      <c r="H13" s="1229"/>
      <c r="I13" s="1323">
        <f>INPUT!C15</f>
        <v>140</v>
      </c>
      <c r="J13" s="1323"/>
      <c r="K13" s="1323"/>
      <c r="L13" s="1293" t="s">
        <v>4</v>
      </c>
      <c r="M13" s="1338"/>
      <c r="O13" s="663" t="s">
        <v>627</v>
      </c>
      <c r="P13" s="664"/>
      <c r="Q13" s="665">
        <f>IF(INPUT!H13=1,INPUT!H13,IF(INPUT!H13=2,INPUT!H13,IF(INPUT!H13=3,INPUT!H13,IF(INPUT!H13=4,INPUT!H13,IF(INPUT!H13=5,INPUT!H13,IF(INPUT!H13=6,INPUT!H13,IF(INPUT!H13=7,INPUT!H13,"")))))))</f>
        <v>6</v>
      </c>
    </row>
    <row r="14" spans="1:17" x14ac:dyDescent="0.2">
      <c r="A14" s="12"/>
      <c r="B14" s="597"/>
      <c r="C14" s="597"/>
      <c r="D14" s="597"/>
      <c r="E14" s="597"/>
      <c r="F14" s="597"/>
      <c r="G14" s="1322" t="s">
        <v>19</v>
      </c>
      <c r="H14" s="1115"/>
      <c r="I14" s="1321">
        <f>INPUT!I19</f>
        <v>2300</v>
      </c>
      <c r="J14" s="1321"/>
      <c r="K14" s="1321"/>
      <c r="L14" s="1230" t="s">
        <v>142</v>
      </c>
      <c r="M14" s="1231"/>
    </row>
    <row r="15" spans="1:17" ht="12" thickBot="1" x14ac:dyDescent="0.25">
      <c r="A15" s="12"/>
      <c r="B15" s="597"/>
      <c r="C15" s="597"/>
      <c r="D15" s="597"/>
      <c r="E15" s="597"/>
      <c r="F15" s="597"/>
      <c r="G15" s="1322" t="s">
        <v>20</v>
      </c>
      <c r="H15" s="1115"/>
      <c r="I15" s="1321">
        <f>INPUT!O19</f>
        <v>24000000000</v>
      </c>
      <c r="J15" s="1321"/>
      <c r="K15" s="1321"/>
      <c r="L15" s="1230" t="s">
        <v>143</v>
      </c>
      <c r="M15" s="1231"/>
    </row>
    <row r="16" spans="1:17" x14ac:dyDescent="0.2">
      <c r="A16" s="616" t="s">
        <v>144</v>
      </c>
      <c r="B16" s="592"/>
      <c r="C16" s="592"/>
      <c r="D16" s="592"/>
      <c r="E16" s="592"/>
      <c r="F16" s="592"/>
      <c r="G16" s="592"/>
      <c r="H16" s="592"/>
      <c r="I16" s="592"/>
      <c r="J16" s="592"/>
      <c r="K16" s="592"/>
      <c r="L16" s="592"/>
      <c r="M16" s="593"/>
    </row>
    <row r="17" spans="1:13" x14ac:dyDescent="0.2">
      <c r="A17" s="13" t="s">
        <v>57</v>
      </c>
      <c r="B17" s="1111">
        <f>INPUT!C16/1000</f>
        <v>0</v>
      </c>
      <c r="C17" s="1111"/>
      <c r="D17" s="14" t="s">
        <v>58</v>
      </c>
      <c r="E17" s="613" t="s">
        <v>59</v>
      </c>
      <c r="F17" s="1112">
        <f>(B17-B18)+2*B20*B18</f>
        <v>0</v>
      </c>
      <c r="G17" s="1112"/>
      <c r="H17" s="613" t="s">
        <v>60</v>
      </c>
      <c r="I17" s="1194">
        <f>F21/F19</f>
        <v>7.0000000000000007E-2</v>
      </c>
      <c r="J17" s="1194"/>
      <c r="K17" s="597"/>
      <c r="L17" s="15" t="s">
        <v>145</v>
      </c>
      <c r="M17" s="16">
        <f>(B20+B20+B21)*1000</f>
        <v>0</v>
      </c>
    </row>
    <row r="18" spans="1:13" x14ac:dyDescent="0.2">
      <c r="A18" s="13" t="s">
        <v>146</v>
      </c>
      <c r="B18" s="1111">
        <f>INPUT!C17/1000</f>
        <v>0</v>
      </c>
      <c r="C18" s="1111"/>
      <c r="D18" s="14" t="s">
        <v>16</v>
      </c>
      <c r="E18" s="613" t="s">
        <v>147</v>
      </c>
      <c r="F18" s="1112">
        <f>B19</f>
        <v>0.14000000000000001</v>
      </c>
      <c r="G18" s="1112"/>
      <c r="H18" s="613" t="s">
        <v>148</v>
      </c>
      <c r="I18" s="1194">
        <f>F20^3/12+(I17-F20/2)^2*F20-((1-2*B20)*B18^3/12+(I17-(B19+B18/2))^2*B18*(1-2*B20))</f>
        <v>2.2866666666666673E-4</v>
      </c>
      <c r="J18" s="1194"/>
      <c r="K18" s="597"/>
      <c r="L18" s="15" t="s">
        <v>149</v>
      </c>
      <c r="M18" s="17">
        <f>(3*B21+2*B20)*1000</f>
        <v>0</v>
      </c>
    </row>
    <row r="19" spans="1:13" x14ac:dyDescent="0.2">
      <c r="A19" s="13" t="s">
        <v>150</v>
      </c>
      <c r="B19" s="1111">
        <f>INPUT!C15/1000</f>
        <v>0.14000000000000001</v>
      </c>
      <c r="C19" s="1111"/>
      <c r="D19" s="14" t="s">
        <v>16</v>
      </c>
      <c r="E19" s="613" t="s">
        <v>151</v>
      </c>
      <c r="F19" s="1112">
        <f>F17+F18</f>
        <v>0.14000000000000001</v>
      </c>
      <c r="G19" s="1112"/>
      <c r="H19" s="613" t="s">
        <v>152</v>
      </c>
      <c r="I19" s="1194">
        <f>B19^3/12+(I17-B19/2)^2*B19</f>
        <v>2.2866666666666673E-4</v>
      </c>
      <c r="J19" s="1194"/>
      <c r="K19" s="597"/>
      <c r="L19" s="1195" t="s">
        <v>29</v>
      </c>
      <c r="M19" s="1196"/>
    </row>
    <row r="20" spans="1:13" x14ac:dyDescent="0.2">
      <c r="A20" s="13" t="s">
        <v>61</v>
      </c>
      <c r="B20" s="1111">
        <f>INPUT!C19/1000</f>
        <v>0</v>
      </c>
      <c r="C20" s="1111"/>
      <c r="D20" s="14" t="s">
        <v>62</v>
      </c>
      <c r="E20" s="613" t="s">
        <v>63</v>
      </c>
      <c r="F20" s="1112">
        <f>B17+B19</f>
        <v>0.14000000000000001</v>
      </c>
      <c r="G20" s="1112"/>
      <c r="H20" s="613" t="s">
        <v>64</v>
      </c>
      <c r="I20" s="1194">
        <f>I18-I19</f>
        <v>0</v>
      </c>
      <c r="J20" s="1194"/>
      <c r="K20" s="597"/>
      <c r="L20" s="1197" t="str">
        <f>IF(M17&lt;=1000,IF(M18&gt;1000,"OK","NG"),"NG")</f>
        <v>NG</v>
      </c>
      <c r="M20" s="1196"/>
    </row>
    <row r="21" spans="1:13" x14ac:dyDescent="0.2">
      <c r="A21" s="13" t="s">
        <v>65</v>
      </c>
      <c r="B21" s="1111">
        <f>INPUT!C18/1000</f>
        <v>0</v>
      </c>
      <c r="C21" s="1111"/>
      <c r="D21" s="14" t="s">
        <v>62</v>
      </c>
      <c r="E21" s="613" t="s">
        <v>66</v>
      </c>
      <c r="F21" s="1112">
        <f>F20^2/2-((B18-2*B18*B20)*(B19+B18/2))</f>
        <v>9.8000000000000014E-3</v>
      </c>
      <c r="G21" s="1112"/>
      <c r="H21" s="1113"/>
      <c r="I21" s="1113"/>
      <c r="J21" s="1113"/>
      <c r="K21" s="597"/>
      <c r="L21" s="597"/>
      <c r="M21" s="598"/>
    </row>
    <row r="22" spans="1:13" x14ac:dyDescent="0.2">
      <c r="A22" s="1114" t="s">
        <v>21</v>
      </c>
      <c r="B22" s="1115"/>
      <c r="C22" s="1115"/>
      <c r="D22" s="1116">
        <f>$I$14</f>
        <v>2300</v>
      </c>
      <c r="E22" s="1115"/>
      <c r="F22" s="601" t="s">
        <v>153</v>
      </c>
      <c r="G22" s="596" t="s">
        <v>154</v>
      </c>
      <c r="H22" s="597"/>
      <c r="I22" s="597"/>
      <c r="J22" s="597"/>
      <c r="K22" s="597"/>
      <c r="L22" s="597"/>
      <c r="M22" s="598"/>
    </row>
    <row r="23" spans="1:13" x14ac:dyDescent="0.2">
      <c r="A23" s="1114" t="s">
        <v>155</v>
      </c>
      <c r="B23" s="1115"/>
      <c r="C23" s="1115"/>
      <c r="D23" s="1116">
        <f>$I$14</f>
        <v>2300</v>
      </c>
      <c r="E23" s="1115"/>
      <c r="F23" s="601" t="s">
        <v>153</v>
      </c>
      <c r="G23" s="596" t="s">
        <v>156</v>
      </c>
      <c r="H23" s="597"/>
      <c r="I23" s="597"/>
      <c r="J23" s="597"/>
      <c r="K23" s="597"/>
      <c r="L23" s="597"/>
      <c r="M23" s="598"/>
    </row>
    <row r="24" spans="1:13" x14ac:dyDescent="0.2">
      <c r="A24" s="1114" t="s">
        <v>22</v>
      </c>
      <c r="B24" s="1115"/>
      <c r="C24" s="1115"/>
      <c r="D24" s="1116">
        <f>$I$15</f>
        <v>24000000000</v>
      </c>
      <c r="E24" s="1115"/>
      <c r="F24" s="601" t="s">
        <v>143</v>
      </c>
      <c r="G24" s="1121" t="s">
        <v>18</v>
      </c>
      <c r="H24" s="1113"/>
      <c r="I24" s="1113"/>
      <c r="J24" s="1122" t="str">
        <f>IF(L20="OK",(12*I18)^(1/3)*1000,"※")</f>
        <v>※</v>
      </c>
      <c r="K24" s="1122"/>
      <c r="L24" s="1113" t="s">
        <v>157</v>
      </c>
      <c r="M24" s="1233"/>
    </row>
    <row r="25" spans="1:13" x14ac:dyDescent="0.2">
      <c r="A25" s="1114" t="s">
        <v>158</v>
      </c>
      <c r="B25" s="1115"/>
      <c r="C25" s="1115"/>
      <c r="D25" s="1116">
        <f>$I$15</f>
        <v>24000000000</v>
      </c>
      <c r="E25" s="1115"/>
      <c r="F25" s="601" t="s">
        <v>143</v>
      </c>
      <c r="G25" s="1121" t="s">
        <v>0</v>
      </c>
      <c r="H25" s="1113"/>
      <c r="I25" s="1113"/>
      <c r="J25" s="1113">
        <f>(D24*I20+D25*I19)/I18</f>
        <v>24000000000</v>
      </c>
      <c r="K25" s="1113"/>
      <c r="L25" s="1113" t="s">
        <v>159</v>
      </c>
      <c r="M25" s="1233"/>
    </row>
    <row r="26" spans="1:13" ht="12" thickBot="1" x14ac:dyDescent="0.25">
      <c r="A26" s="1117" t="s">
        <v>23</v>
      </c>
      <c r="B26" s="1118"/>
      <c r="C26" s="1118"/>
      <c r="D26" s="1118">
        <f>(B17+B19)*1000</f>
        <v>140</v>
      </c>
      <c r="E26" s="1118"/>
      <c r="F26" s="615" t="s">
        <v>24</v>
      </c>
      <c r="G26" s="1119" t="s">
        <v>1</v>
      </c>
      <c r="H26" s="1120"/>
      <c r="I26" s="1120"/>
      <c r="J26" s="1120">
        <f>D22*F17/F19+D23*F18/F19</f>
        <v>2300</v>
      </c>
      <c r="K26" s="1120"/>
      <c r="L26" s="1120" t="s">
        <v>160</v>
      </c>
      <c r="M26" s="1232"/>
    </row>
    <row r="27" spans="1:13" x14ac:dyDescent="0.2">
      <c r="A27" s="616" t="s">
        <v>161</v>
      </c>
      <c r="B27" s="592"/>
      <c r="C27" s="592"/>
      <c r="D27" s="592"/>
      <c r="E27" s="592"/>
      <c r="F27" s="18"/>
      <c r="G27" s="18"/>
      <c r="H27" s="18"/>
      <c r="I27" s="592"/>
      <c r="J27" s="18"/>
      <c r="K27" s="18"/>
      <c r="L27" s="592"/>
      <c r="M27" s="19"/>
    </row>
    <row r="28" spans="1:13" x14ac:dyDescent="0.2">
      <c r="A28" s="13" t="s">
        <v>27</v>
      </c>
      <c r="B28" s="1111">
        <f>INPUT!C16/1000</f>
        <v>0</v>
      </c>
      <c r="C28" s="1111"/>
      <c r="D28" s="14" t="s">
        <v>28</v>
      </c>
      <c r="E28" s="613" t="s">
        <v>67</v>
      </c>
      <c r="F28" s="1112" t="e">
        <f>1/(B31+B32)</f>
        <v>#DIV/0!</v>
      </c>
      <c r="G28" s="1112"/>
      <c r="H28" s="613" t="s">
        <v>68</v>
      </c>
      <c r="I28" s="1112" t="e">
        <f>F32/F31</f>
        <v>#DIV/0!</v>
      </c>
      <c r="J28" s="1112"/>
      <c r="K28" s="601"/>
      <c r="L28" s="15" t="s">
        <v>162</v>
      </c>
      <c r="M28" s="20">
        <f>B31+B32</f>
        <v>0</v>
      </c>
    </row>
    <row r="29" spans="1:13" x14ac:dyDescent="0.2">
      <c r="A29" s="13" t="s">
        <v>69</v>
      </c>
      <c r="B29" s="1111">
        <f>INPUT!C17/1000</f>
        <v>0</v>
      </c>
      <c r="C29" s="1111"/>
      <c r="D29" s="14" t="s">
        <v>28</v>
      </c>
      <c r="E29" s="613" t="s">
        <v>70</v>
      </c>
      <c r="F29" s="1112">
        <f>B28</f>
        <v>0</v>
      </c>
      <c r="G29" s="1112"/>
      <c r="H29" s="613" t="s">
        <v>71</v>
      </c>
      <c r="I29" s="1112" t="e">
        <f>B28^3/12+F29*(I28-(B30+B28/2))^2</f>
        <v>#DIV/0!</v>
      </c>
      <c r="J29" s="1112"/>
      <c r="K29" s="601"/>
      <c r="L29" s="1195" t="s">
        <v>29</v>
      </c>
      <c r="M29" s="1234"/>
    </row>
    <row r="30" spans="1:13" x14ac:dyDescent="0.2">
      <c r="A30" s="13" t="s">
        <v>163</v>
      </c>
      <c r="B30" s="1111">
        <f>INPUT!C15/1000</f>
        <v>0.14000000000000001</v>
      </c>
      <c r="C30" s="1111"/>
      <c r="D30" s="14" t="s">
        <v>62</v>
      </c>
      <c r="E30" s="613" t="s">
        <v>164</v>
      </c>
      <c r="F30" s="1112" t="e">
        <f>B30-F28*((B32/2)^2*PI()+B32*(B29-B32))</f>
        <v>#DIV/0!</v>
      </c>
      <c r="G30" s="1112"/>
      <c r="H30" s="613" t="s">
        <v>80</v>
      </c>
      <c r="I30" s="1112" t="e">
        <f>(B30^3/12+B30*(I28-(B30/2))^2)-F28*(PI()*B32^4/64+(B32/2)^2*PI()*(I28-(B30/2))^2)-F28*(B32*(B29-B32)^3/12+B32*(B29-B32)*(I28-(B30/2))^2)</f>
        <v>#DIV/0!</v>
      </c>
      <c r="J30" s="1112"/>
      <c r="K30" s="601"/>
      <c r="L30" s="1197" t="str">
        <f>IF(B29&gt;B30,"NG",IF(B31+B32&gt;1,"NG","OK"))</f>
        <v>OK</v>
      </c>
      <c r="M30" s="1196"/>
    </row>
    <row r="31" spans="1:13" x14ac:dyDescent="0.2">
      <c r="A31" s="13" t="s">
        <v>61</v>
      </c>
      <c r="B31" s="1111">
        <f>INPUT!C19/1000</f>
        <v>0</v>
      </c>
      <c r="C31" s="1111"/>
      <c r="D31" s="14" t="s">
        <v>62</v>
      </c>
      <c r="E31" s="613" t="s">
        <v>79</v>
      </c>
      <c r="F31" s="1112" t="e">
        <f>F29+F30</f>
        <v>#DIV/0!</v>
      </c>
      <c r="G31" s="1112"/>
      <c r="H31" s="613" t="s">
        <v>81</v>
      </c>
      <c r="I31" s="1112" t="e">
        <f>I29+I30</f>
        <v>#DIV/0!</v>
      </c>
      <c r="J31" s="1112"/>
      <c r="K31" s="601"/>
      <c r="L31" s="597"/>
      <c r="M31" s="21"/>
    </row>
    <row r="32" spans="1:13" x14ac:dyDescent="0.2">
      <c r="A32" s="13" t="s">
        <v>65</v>
      </c>
      <c r="B32" s="1111">
        <f>INPUT!C18/1000</f>
        <v>0</v>
      </c>
      <c r="C32" s="1111"/>
      <c r="D32" s="14" t="s">
        <v>62</v>
      </c>
      <c r="E32" s="613" t="s">
        <v>66</v>
      </c>
      <c r="F32" s="1112" t="e">
        <f>(B28*(B30+B28/2))+(B30/2*(B30-F28*((B32/2)^2*PI()+B32*(B29-B32))))</f>
        <v>#DIV/0!</v>
      </c>
      <c r="G32" s="1112"/>
      <c r="H32" s="1113"/>
      <c r="I32" s="1113"/>
      <c r="J32" s="1113"/>
      <c r="K32" s="601"/>
      <c r="L32" s="597"/>
      <c r="M32" s="21"/>
    </row>
    <row r="33" spans="1:13" x14ac:dyDescent="0.2">
      <c r="A33" s="1114" t="s">
        <v>21</v>
      </c>
      <c r="B33" s="1115"/>
      <c r="C33" s="1115"/>
      <c r="D33" s="1116">
        <f>$I$14</f>
        <v>2300</v>
      </c>
      <c r="E33" s="1115"/>
      <c r="F33" s="601" t="s">
        <v>153</v>
      </c>
      <c r="G33" s="600" t="s">
        <v>165</v>
      </c>
      <c r="H33" s="601"/>
      <c r="I33" s="597"/>
      <c r="J33" s="601"/>
      <c r="K33" s="601"/>
      <c r="L33" s="597"/>
      <c r="M33" s="21"/>
    </row>
    <row r="34" spans="1:13" x14ac:dyDescent="0.2">
      <c r="A34" s="1114" t="s">
        <v>155</v>
      </c>
      <c r="B34" s="1115"/>
      <c r="C34" s="1115"/>
      <c r="D34" s="1116">
        <f>$I$14</f>
        <v>2300</v>
      </c>
      <c r="E34" s="1115"/>
      <c r="F34" s="601" t="s">
        <v>153</v>
      </c>
      <c r="G34" s="601"/>
      <c r="H34" s="601"/>
      <c r="I34" s="597"/>
      <c r="J34" s="597"/>
      <c r="K34" s="597"/>
      <c r="L34" s="597"/>
      <c r="M34" s="21"/>
    </row>
    <row r="35" spans="1:13" x14ac:dyDescent="0.2">
      <c r="A35" s="1114" t="s">
        <v>22</v>
      </c>
      <c r="B35" s="1115"/>
      <c r="C35" s="1115"/>
      <c r="D35" s="1116">
        <f>$I$15</f>
        <v>24000000000</v>
      </c>
      <c r="E35" s="1115"/>
      <c r="F35" s="601" t="s">
        <v>143</v>
      </c>
      <c r="G35" s="1121" t="s">
        <v>18</v>
      </c>
      <c r="H35" s="1113"/>
      <c r="I35" s="1113"/>
      <c r="J35" s="1198" t="e">
        <f>IF(L30="OK",(12*I31)^(1/3)*1000,"※")</f>
        <v>#DIV/0!</v>
      </c>
      <c r="K35" s="1198"/>
      <c r="L35" s="1113" t="s">
        <v>4</v>
      </c>
      <c r="M35" s="1233"/>
    </row>
    <row r="36" spans="1:13" x14ac:dyDescent="0.2">
      <c r="A36" s="1114" t="s">
        <v>158</v>
      </c>
      <c r="B36" s="1115"/>
      <c r="C36" s="1115"/>
      <c r="D36" s="1116">
        <f>$I$15</f>
        <v>24000000000</v>
      </c>
      <c r="E36" s="1115"/>
      <c r="F36" s="601" t="s">
        <v>143</v>
      </c>
      <c r="G36" s="1121" t="s">
        <v>0</v>
      </c>
      <c r="H36" s="1113"/>
      <c r="I36" s="1113"/>
      <c r="J36" s="1113" t="e">
        <f>(D35*I29+D36*I30)/I31</f>
        <v>#DIV/0!</v>
      </c>
      <c r="K36" s="1113"/>
      <c r="L36" s="1113" t="s">
        <v>159</v>
      </c>
      <c r="M36" s="1233"/>
    </row>
    <row r="37" spans="1:13" ht="12" thickBot="1" x14ac:dyDescent="0.25">
      <c r="A37" s="1117" t="s">
        <v>23</v>
      </c>
      <c r="B37" s="1118"/>
      <c r="C37" s="1118"/>
      <c r="D37" s="1118">
        <f>(B28+B30)*1000</f>
        <v>140</v>
      </c>
      <c r="E37" s="1118"/>
      <c r="F37" s="615" t="s">
        <v>24</v>
      </c>
      <c r="G37" s="1119" t="s">
        <v>1</v>
      </c>
      <c r="H37" s="1120"/>
      <c r="I37" s="1120"/>
      <c r="J37" s="1120" t="e">
        <f>D33*F29/F31+D34*F30/F31</f>
        <v>#DIV/0!</v>
      </c>
      <c r="K37" s="1120"/>
      <c r="L37" s="1120" t="s">
        <v>160</v>
      </c>
      <c r="M37" s="1232"/>
    </row>
    <row r="38" spans="1:13" x14ac:dyDescent="0.2">
      <c r="A38" s="616" t="s">
        <v>166</v>
      </c>
      <c r="B38" s="592"/>
      <c r="C38" s="592"/>
      <c r="D38" s="592"/>
      <c r="E38" s="592"/>
      <c r="F38" s="18"/>
      <c r="G38" s="18"/>
      <c r="H38" s="18"/>
      <c r="I38" s="592"/>
      <c r="J38" s="592"/>
      <c r="K38" s="592"/>
      <c r="L38" s="592"/>
      <c r="M38" s="19"/>
    </row>
    <row r="39" spans="1:13" x14ac:dyDescent="0.2">
      <c r="A39" s="13" t="s">
        <v>25</v>
      </c>
      <c r="B39" s="1111">
        <f>INPUT!C16/1000</f>
        <v>0</v>
      </c>
      <c r="C39" s="1111"/>
      <c r="D39" s="14" t="s">
        <v>26</v>
      </c>
      <c r="E39" s="613" t="s">
        <v>74</v>
      </c>
      <c r="F39" s="1113">
        <f>(B39+B40)/2</f>
        <v>7.0000000000000007E-2</v>
      </c>
      <c r="G39" s="1113"/>
      <c r="H39" s="613" t="s">
        <v>75</v>
      </c>
      <c r="I39" s="1113">
        <f>B39^3/12+B39*(F39-(B40+B39/2))^2</f>
        <v>0</v>
      </c>
      <c r="J39" s="1113"/>
      <c r="K39" s="597"/>
      <c r="L39" s="597"/>
      <c r="M39" s="598"/>
    </row>
    <row r="40" spans="1:13" x14ac:dyDescent="0.2">
      <c r="A40" s="13" t="s">
        <v>76</v>
      </c>
      <c r="B40" s="1111">
        <f>INPUT!C15/1000</f>
        <v>0.14000000000000001</v>
      </c>
      <c r="C40" s="1111"/>
      <c r="D40" s="14" t="s">
        <v>26</v>
      </c>
      <c r="E40" s="613" t="s">
        <v>77</v>
      </c>
      <c r="F40" s="1113">
        <f>I39+I40</f>
        <v>2.2866666666666673E-4</v>
      </c>
      <c r="G40" s="1113"/>
      <c r="H40" s="613" t="s">
        <v>78</v>
      </c>
      <c r="I40" s="1113">
        <f>B40^3/12+B40*(F39-(B40/2))^2</f>
        <v>2.2866666666666673E-4</v>
      </c>
      <c r="J40" s="1113"/>
      <c r="K40" s="597"/>
      <c r="L40" s="597"/>
      <c r="M40" s="598"/>
    </row>
    <row r="41" spans="1:13" x14ac:dyDescent="0.2">
      <c r="A41" s="1114" t="s">
        <v>21</v>
      </c>
      <c r="B41" s="1115"/>
      <c r="C41" s="1115"/>
      <c r="D41" s="1116">
        <f>$I$14</f>
        <v>2300</v>
      </c>
      <c r="E41" s="1115"/>
      <c r="F41" s="601" t="s">
        <v>153</v>
      </c>
      <c r="G41" s="597"/>
      <c r="H41" s="597"/>
      <c r="I41" s="597"/>
      <c r="J41" s="597"/>
      <c r="K41" s="597"/>
      <c r="L41" s="597"/>
      <c r="M41" s="598"/>
    </row>
    <row r="42" spans="1:13" x14ac:dyDescent="0.2">
      <c r="A42" s="1114" t="s">
        <v>155</v>
      </c>
      <c r="B42" s="1115"/>
      <c r="C42" s="1115"/>
      <c r="D42" s="1116">
        <f>$I$14</f>
        <v>2300</v>
      </c>
      <c r="E42" s="1115"/>
      <c r="F42" s="601" t="s">
        <v>153</v>
      </c>
      <c r="G42" s="597"/>
      <c r="H42" s="597"/>
      <c r="I42" s="597"/>
      <c r="J42" s="597"/>
      <c r="K42" s="597"/>
      <c r="L42" s="597"/>
      <c r="M42" s="598"/>
    </row>
    <row r="43" spans="1:13" x14ac:dyDescent="0.2">
      <c r="A43" s="1114" t="s">
        <v>22</v>
      </c>
      <c r="B43" s="1115"/>
      <c r="C43" s="1115"/>
      <c r="D43" s="1116">
        <f>$I$15</f>
        <v>24000000000</v>
      </c>
      <c r="E43" s="1115"/>
      <c r="F43" s="601" t="s">
        <v>143</v>
      </c>
      <c r="G43" s="597"/>
      <c r="H43" s="597"/>
      <c r="I43" s="597"/>
      <c r="J43" s="597"/>
      <c r="K43" s="597"/>
      <c r="L43" s="597"/>
      <c r="M43" s="598"/>
    </row>
    <row r="44" spans="1:13" x14ac:dyDescent="0.2">
      <c r="A44" s="1114" t="s">
        <v>158</v>
      </c>
      <c r="B44" s="1115"/>
      <c r="C44" s="1115"/>
      <c r="D44" s="1116">
        <f>$I$15</f>
        <v>24000000000</v>
      </c>
      <c r="E44" s="1115"/>
      <c r="F44" s="601" t="s">
        <v>143</v>
      </c>
      <c r="G44" s="1121" t="s">
        <v>18</v>
      </c>
      <c r="H44" s="1113"/>
      <c r="I44" s="1113"/>
      <c r="J44" s="1198">
        <f>(B40+B39*D41/D42)*1000</f>
        <v>140</v>
      </c>
      <c r="K44" s="1198"/>
      <c r="L44" s="1113" t="s">
        <v>4</v>
      </c>
      <c r="M44" s="1233"/>
    </row>
    <row r="45" spans="1:13" x14ac:dyDescent="0.2">
      <c r="A45" s="1192" t="s">
        <v>23</v>
      </c>
      <c r="B45" s="1147"/>
      <c r="C45" s="1147"/>
      <c r="D45" s="1193">
        <f>(B39+B40)*1000</f>
        <v>140</v>
      </c>
      <c r="E45" s="1193"/>
      <c r="F45" s="22" t="s">
        <v>24</v>
      </c>
      <c r="G45" s="1121" t="s">
        <v>0</v>
      </c>
      <c r="H45" s="1113"/>
      <c r="I45" s="1113"/>
      <c r="J45" s="1113">
        <f>(D43*I39+D44*I40)/F40</f>
        <v>24000000000</v>
      </c>
      <c r="K45" s="1113"/>
      <c r="L45" s="1113" t="s">
        <v>159</v>
      </c>
      <c r="M45" s="1233"/>
    </row>
    <row r="46" spans="1:13" ht="12" thickBot="1" x14ac:dyDescent="0.25">
      <c r="A46" s="23"/>
      <c r="B46" s="603"/>
      <c r="C46" s="612"/>
      <c r="D46" s="612"/>
      <c r="E46" s="612"/>
      <c r="F46" s="603"/>
      <c r="G46" s="1119" t="s">
        <v>1</v>
      </c>
      <c r="H46" s="1120"/>
      <c r="I46" s="1120"/>
      <c r="J46" s="1120">
        <f>D41*(B39/(B39+B40))+D42*(B40/(B39+B40))</f>
        <v>2300</v>
      </c>
      <c r="K46" s="1120"/>
      <c r="L46" s="1120" t="s">
        <v>160</v>
      </c>
      <c r="M46" s="1232"/>
    </row>
    <row r="47" spans="1:13" x14ac:dyDescent="0.2">
      <c r="A47" s="616" t="s">
        <v>167</v>
      </c>
      <c r="B47" s="592"/>
      <c r="C47" s="592"/>
      <c r="D47" s="592"/>
      <c r="E47" s="592"/>
      <c r="F47" s="592"/>
      <c r="G47" s="592"/>
      <c r="H47" s="592"/>
      <c r="I47" s="592"/>
      <c r="J47" s="592"/>
      <c r="K47" s="592"/>
      <c r="L47" s="592"/>
      <c r="M47" s="593"/>
    </row>
    <row r="48" spans="1:13" x14ac:dyDescent="0.2">
      <c r="A48" s="13" t="s">
        <v>72</v>
      </c>
      <c r="B48" s="1111">
        <f>INPUT!C15/1000</f>
        <v>0.14000000000000001</v>
      </c>
      <c r="C48" s="1111"/>
      <c r="D48" s="14" t="s">
        <v>28</v>
      </c>
      <c r="E48" s="14" t="s">
        <v>70</v>
      </c>
      <c r="F48" s="1199">
        <f>B48</f>
        <v>0.14000000000000001</v>
      </c>
      <c r="G48" s="1113"/>
      <c r="H48" s="14" t="s">
        <v>68</v>
      </c>
      <c r="I48" s="1113" t="e">
        <f>F51/F50</f>
        <v>#DIV/0!</v>
      </c>
      <c r="J48" s="1113"/>
      <c r="K48" s="597"/>
      <c r="L48" s="1197" t="s">
        <v>168</v>
      </c>
      <c r="M48" s="1196"/>
    </row>
    <row r="49" spans="1:38" x14ac:dyDescent="0.2">
      <c r="A49" s="13" t="s">
        <v>69</v>
      </c>
      <c r="B49" s="1111">
        <f>INPUT!C16/1000</f>
        <v>0</v>
      </c>
      <c r="C49" s="1111"/>
      <c r="D49" s="14" t="s">
        <v>28</v>
      </c>
      <c r="E49" s="14" t="s">
        <v>73</v>
      </c>
      <c r="F49" s="1113" t="e">
        <f>PI()*(B50/2)^2*1/(B51+B50)</f>
        <v>#DIV/0!</v>
      </c>
      <c r="G49" s="1113"/>
      <c r="H49" s="14" t="s">
        <v>71</v>
      </c>
      <c r="I49" s="1113">
        <f>B48^3/12</f>
        <v>2.2866666666666673E-4</v>
      </c>
      <c r="J49" s="1113"/>
      <c r="K49" s="597"/>
      <c r="L49" s="1195" t="s">
        <v>29</v>
      </c>
      <c r="M49" s="1196"/>
    </row>
    <row r="50" spans="1:38" x14ac:dyDescent="0.2">
      <c r="A50" s="13" t="s">
        <v>65</v>
      </c>
      <c r="B50" s="1111">
        <f>INPUT!C17/1000</f>
        <v>0</v>
      </c>
      <c r="C50" s="1111"/>
      <c r="D50" s="14" t="s">
        <v>62</v>
      </c>
      <c r="E50" s="14" t="s">
        <v>79</v>
      </c>
      <c r="F50" s="1199" t="e">
        <f>F48-F49</f>
        <v>#DIV/0!</v>
      </c>
      <c r="G50" s="1113"/>
      <c r="H50" s="14" t="s">
        <v>80</v>
      </c>
      <c r="I50" s="1113">
        <f>PI()*B50^4/64</f>
        <v>0</v>
      </c>
      <c r="J50" s="1113"/>
      <c r="K50" s="597"/>
      <c r="L50" s="1197" t="str">
        <f>IF(B50=B49,"OK","NG")</f>
        <v>OK</v>
      </c>
      <c r="M50" s="1196"/>
    </row>
    <row r="51" spans="1:38" x14ac:dyDescent="0.2">
      <c r="A51" s="13" t="s">
        <v>61</v>
      </c>
      <c r="B51" s="1111">
        <f>INPUT!C18/1000</f>
        <v>0</v>
      </c>
      <c r="C51" s="1111"/>
      <c r="D51" s="14" t="s">
        <v>62</v>
      </c>
      <c r="E51" s="14" t="s">
        <v>66</v>
      </c>
      <c r="F51" s="1113" t="e">
        <f>F48*B48/2-F49*((B48-B49)/2+B49/2)</f>
        <v>#DIV/0!</v>
      </c>
      <c r="G51" s="1113"/>
      <c r="H51" s="14" t="s">
        <v>81</v>
      </c>
      <c r="I51" s="1113" t="e">
        <f>(I49+F48*ABS(I48-B48/2)^2)-(1/(B51+B50)*(I50+F49*ABS(I48-((B48-B49)/2)-B49/2)^2))</f>
        <v>#DIV/0!</v>
      </c>
      <c r="J51" s="1113"/>
      <c r="K51" s="597"/>
      <c r="L51" s="597"/>
      <c r="M51" s="598"/>
    </row>
    <row r="52" spans="1:38" x14ac:dyDescent="0.2">
      <c r="A52" s="1114" t="s">
        <v>21</v>
      </c>
      <c r="B52" s="1115"/>
      <c r="C52" s="1115"/>
      <c r="D52" s="1115">
        <f>INPUT!I19</f>
        <v>2300</v>
      </c>
      <c r="E52" s="1115"/>
      <c r="F52" s="601" t="s">
        <v>153</v>
      </c>
      <c r="G52" s="1121" t="s">
        <v>18</v>
      </c>
      <c r="H52" s="1113"/>
      <c r="I52" s="1113"/>
      <c r="J52" s="1198" t="e">
        <f>IF(L50="OK",(12*I51)^(1/3)*1000,"※")</f>
        <v>#DIV/0!</v>
      </c>
      <c r="K52" s="1198"/>
      <c r="L52" s="1113" t="s">
        <v>4</v>
      </c>
      <c r="M52" s="1233"/>
    </row>
    <row r="53" spans="1:38" x14ac:dyDescent="0.2">
      <c r="A53" s="1114" t="s">
        <v>22</v>
      </c>
      <c r="B53" s="1115"/>
      <c r="C53" s="1115"/>
      <c r="D53" s="1115">
        <f>INPUT!O19</f>
        <v>24000000000</v>
      </c>
      <c r="E53" s="1115"/>
      <c r="F53" s="601" t="s">
        <v>143</v>
      </c>
      <c r="G53" s="1121" t="s">
        <v>0</v>
      </c>
      <c r="H53" s="1113"/>
      <c r="I53" s="1113"/>
      <c r="J53" s="1113">
        <f>D53</f>
        <v>24000000000</v>
      </c>
      <c r="K53" s="1113"/>
      <c r="L53" s="1113" t="s">
        <v>159</v>
      </c>
      <c r="M53" s="1233"/>
    </row>
    <row r="54" spans="1:38" ht="12" thickBot="1" x14ac:dyDescent="0.25">
      <c r="A54" s="1117" t="s">
        <v>23</v>
      </c>
      <c r="B54" s="1118"/>
      <c r="C54" s="1118"/>
      <c r="D54" s="1118">
        <f>B48*1000</f>
        <v>140</v>
      </c>
      <c r="E54" s="1118"/>
      <c r="F54" s="615" t="s">
        <v>24</v>
      </c>
      <c r="G54" s="1119" t="s">
        <v>1</v>
      </c>
      <c r="H54" s="1120"/>
      <c r="I54" s="1120"/>
      <c r="J54" s="1120">
        <f>D52</f>
        <v>2300</v>
      </c>
      <c r="K54" s="1120"/>
      <c r="L54" s="1120" t="s">
        <v>160</v>
      </c>
      <c r="M54" s="1232"/>
    </row>
    <row r="55" spans="1:38" x14ac:dyDescent="0.2">
      <c r="A55" s="672" t="s">
        <v>646</v>
      </c>
      <c r="B55" s="673"/>
      <c r="C55" s="673"/>
      <c r="D55" s="673"/>
      <c r="E55" s="673"/>
      <c r="F55" s="673"/>
      <c r="G55" s="673"/>
      <c r="H55" s="673"/>
      <c r="I55" s="673"/>
      <c r="J55" s="673"/>
      <c r="K55" s="673"/>
      <c r="L55" s="673"/>
      <c r="M55" s="674"/>
      <c r="Z55" s="616" t="s">
        <v>327</v>
      </c>
      <c r="AA55" s="18"/>
      <c r="AB55" s="18"/>
      <c r="AC55" s="18"/>
      <c r="AD55" s="18"/>
      <c r="AE55" s="18"/>
      <c r="AF55" s="26"/>
      <c r="AG55" s="592"/>
      <c r="AH55" s="592"/>
      <c r="AI55" s="592"/>
      <c r="AJ55" s="592"/>
      <c r="AK55" s="592"/>
      <c r="AL55" s="593"/>
    </row>
    <row r="56" spans="1:38" x14ac:dyDescent="0.2">
      <c r="A56" s="13" t="s">
        <v>57</v>
      </c>
      <c r="B56" s="1111">
        <f>INPUT!$C$16/1000</f>
        <v>0</v>
      </c>
      <c r="C56" s="1111"/>
      <c r="D56" s="14" t="s">
        <v>58</v>
      </c>
      <c r="E56" s="667" t="s">
        <v>59</v>
      </c>
      <c r="F56" s="1112">
        <f>(B56-B57)+2*B59*B57</f>
        <v>0</v>
      </c>
      <c r="G56" s="1112"/>
      <c r="H56" s="667" t="s">
        <v>60</v>
      </c>
      <c r="I56" s="1194">
        <f>F60/F58</f>
        <v>7.0000000000000007E-2</v>
      </c>
      <c r="J56" s="1194"/>
      <c r="K56" s="666"/>
      <c r="L56" s="15" t="s">
        <v>145</v>
      </c>
      <c r="M56" s="16">
        <f>(B59+B59+B60)*1000</f>
        <v>0</v>
      </c>
      <c r="O56" s="11" t="s">
        <v>634</v>
      </c>
      <c r="P56" s="11">
        <f>(B56+B58)*1000</f>
        <v>140</v>
      </c>
      <c r="R56" s="11" t="s">
        <v>635</v>
      </c>
      <c r="S56" s="11">
        <f>1*(P56/1000)*((P56/1000)/2)-((P62+P60+P62)/1000)*(P58/1000)*((P57/1000)+(P58/1000)/2)</f>
        <v>1.1267978960000001E-2</v>
      </c>
      <c r="Z56" s="13" t="s">
        <v>57</v>
      </c>
      <c r="AA56" s="1111">
        <f>INPUT!C16/1000</f>
        <v>0</v>
      </c>
      <c r="AB56" s="1111"/>
      <c r="AC56" s="14" t="s">
        <v>28</v>
      </c>
      <c r="AD56" s="601"/>
      <c r="AE56" s="601"/>
      <c r="AF56" s="596"/>
      <c r="AG56" s="597"/>
      <c r="AH56" s="597"/>
      <c r="AI56" s="597"/>
      <c r="AJ56" s="597"/>
      <c r="AK56" s="597"/>
      <c r="AL56" s="598"/>
    </row>
    <row r="57" spans="1:38" x14ac:dyDescent="0.2">
      <c r="A57" s="13" t="s">
        <v>69</v>
      </c>
      <c r="B57" s="1111">
        <f>(INPUT!$C$17)/1000</f>
        <v>0</v>
      </c>
      <c r="C57" s="1111"/>
      <c r="D57" s="14" t="s">
        <v>7</v>
      </c>
      <c r="E57" s="667" t="s">
        <v>147</v>
      </c>
      <c r="F57" s="1112">
        <f>B58</f>
        <v>0.14000000000000001</v>
      </c>
      <c r="G57" s="1112"/>
      <c r="H57" s="667" t="s">
        <v>148</v>
      </c>
      <c r="I57" s="1194">
        <f>F59^3/12+(I56-F59/2)^2*F59-((1-2*B59)*B57^3/12+(I56-(B58+B57/2))^2*B57*(1-2*B59))</f>
        <v>2.2866666666666673E-4</v>
      </c>
      <c r="J57" s="1194"/>
      <c r="K57" s="666"/>
      <c r="L57" s="15" t="s">
        <v>149</v>
      </c>
      <c r="M57" s="17">
        <f>(3*B60+2*B59)*1000</f>
        <v>0</v>
      </c>
      <c r="O57" s="11" t="s">
        <v>636</v>
      </c>
      <c r="P57" s="11">
        <f>B58*1000</f>
        <v>140</v>
      </c>
      <c r="R57" s="11" t="s">
        <v>637</v>
      </c>
      <c r="S57" s="11">
        <f>(1*P56/1000)-((P60+P62*2)/1000)*(P58/1000)</f>
        <v>0.15111600000000003</v>
      </c>
      <c r="Z57" s="13" t="s">
        <v>424</v>
      </c>
      <c r="AA57" s="1111">
        <f>(INPUT!C17-30)/1000</f>
        <v>-0.03</v>
      </c>
      <c r="AB57" s="1111"/>
      <c r="AC57" s="14" t="s">
        <v>28</v>
      </c>
      <c r="AD57" s="601"/>
      <c r="AE57" s="601"/>
      <c r="AF57" s="596"/>
      <c r="AG57" s="597"/>
      <c r="AH57" s="597"/>
      <c r="AI57" s="597"/>
      <c r="AJ57" s="597"/>
      <c r="AK57" s="597"/>
      <c r="AL57" s="598"/>
    </row>
    <row r="58" spans="1:38" x14ac:dyDescent="0.2">
      <c r="A58" s="13" t="s">
        <v>72</v>
      </c>
      <c r="B58" s="1111">
        <f>INPUT!$C$15/1000</f>
        <v>0.14000000000000001</v>
      </c>
      <c r="C58" s="1111"/>
      <c r="D58" s="14" t="s">
        <v>7</v>
      </c>
      <c r="E58" s="667" t="s">
        <v>151</v>
      </c>
      <c r="F58" s="1112">
        <f>F56+F57</f>
        <v>0.14000000000000001</v>
      </c>
      <c r="G58" s="1112"/>
      <c r="H58" s="667" t="s">
        <v>152</v>
      </c>
      <c r="I58" s="1194">
        <f>B58^3/12+(I56-B58/2)^2*B58</f>
        <v>2.2866666666666673E-4</v>
      </c>
      <c r="J58" s="1194"/>
      <c r="K58" s="666"/>
      <c r="L58" s="1195" t="s">
        <v>29</v>
      </c>
      <c r="M58" s="1196"/>
      <c r="O58" s="11" t="s">
        <v>638</v>
      </c>
      <c r="P58" s="680">
        <f>B57*1000-15.88</f>
        <v>-15.88</v>
      </c>
      <c r="R58" s="11" t="s">
        <v>639</v>
      </c>
      <c r="S58" s="11">
        <f>S56/S57</f>
        <v>7.4565095423383354E-2</v>
      </c>
      <c r="Z58" s="13" t="s">
        <v>150</v>
      </c>
      <c r="AA58" s="1111">
        <f>INPUT!C15/1000</f>
        <v>0.14000000000000001</v>
      </c>
      <c r="AB58" s="1111"/>
      <c r="AC58" s="14" t="s">
        <v>28</v>
      </c>
      <c r="AD58" s="601"/>
      <c r="AE58" s="601"/>
      <c r="AF58" s="596"/>
      <c r="AG58" s="597"/>
      <c r="AH58" s="597"/>
      <c r="AI58" s="597"/>
      <c r="AJ58" s="597"/>
      <c r="AK58" s="597"/>
      <c r="AL58" s="598"/>
    </row>
    <row r="59" spans="1:38" x14ac:dyDescent="0.2">
      <c r="A59" s="13" t="s">
        <v>61</v>
      </c>
      <c r="B59" s="1111">
        <f>INPUT!$C$19/1000</f>
        <v>0</v>
      </c>
      <c r="C59" s="1111"/>
      <c r="D59" s="14" t="s">
        <v>62</v>
      </c>
      <c r="E59" s="667" t="s">
        <v>63</v>
      </c>
      <c r="F59" s="1112">
        <f>B56+B58</f>
        <v>0.14000000000000001</v>
      </c>
      <c r="G59" s="1112"/>
      <c r="H59" s="667" t="s">
        <v>64</v>
      </c>
      <c r="I59" s="1194">
        <f>I57-I58</f>
        <v>0</v>
      </c>
      <c r="J59" s="1194"/>
      <c r="K59" s="666"/>
      <c r="L59" s="1197" t="str">
        <f>IF(M56&lt;=1000,IF(M57&gt;1000,"OK","NG"),"NG")</f>
        <v>NG</v>
      </c>
      <c r="M59" s="1196"/>
      <c r="O59" s="11" t="s">
        <v>640</v>
      </c>
      <c r="P59" s="680">
        <f>P56-P57-P58</f>
        <v>15.88</v>
      </c>
      <c r="Z59" s="13" t="s">
        <v>61</v>
      </c>
      <c r="AA59" s="1111">
        <f>INPUT!C19/1000</f>
        <v>0</v>
      </c>
      <c r="AB59" s="1111"/>
      <c r="AC59" s="14" t="s">
        <v>28</v>
      </c>
      <c r="AD59" s="601"/>
      <c r="AE59" s="601"/>
      <c r="AF59" s="596"/>
      <c r="AG59" s="597"/>
      <c r="AH59" s="597"/>
      <c r="AI59" s="597"/>
      <c r="AJ59" s="597"/>
      <c r="AK59" s="597"/>
      <c r="AL59" s="598"/>
    </row>
    <row r="60" spans="1:38" x14ac:dyDescent="0.2">
      <c r="A60" s="13" t="s">
        <v>65</v>
      </c>
      <c r="B60" s="1111">
        <f>INPUT!$C$18/1000</f>
        <v>0</v>
      </c>
      <c r="C60" s="1111"/>
      <c r="D60" s="14" t="s">
        <v>62</v>
      </c>
      <c r="E60" s="667" t="s">
        <v>66</v>
      </c>
      <c r="F60" s="1112">
        <f>F59^2/2-((B57-2*B57*B59)*(B58+B57/2))</f>
        <v>9.8000000000000014E-3</v>
      </c>
      <c r="G60" s="1112"/>
      <c r="H60" s="1113"/>
      <c r="I60" s="1113"/>
      <c r="J60" s="1113"/>
      <c r="K60" s="666"/>
      <c r="L60" s="666"/>
      <c r="M60" s="670"/>
      <c r="O60" s="11" t="s">
        <v>641</v>
      </c>
      <c r="P60" s="11">
        <v>430</v>
      </c>
      <c r="R60" s="11" t="s">
        <v>227</v>
      </c>
      <c r="S60" s="11">
        <f>(1*(P56/1000)^3)/12</f>
        <v>2.2866666666666673E-4</v>
      </c>
      <c r="Z60" s="13" t="s">
        <v>65</v>
      </c>
      <c r="AA60" s="1111">
        <f>INPUT!C18/1000</f>
        <v>0</v>
      </c>
      <c r="AB60" s="1111"/>
      <c r="AC60" s="14" t="s">
        <v>28</v>
      </c>
      <c r="AD60" s="601"/>
      <c r="AE60" s="601"/>
      <c r="AF60" s="596"/>
      <c r="AG60" s="597"/>
      <c r="AH60" s="597"/>
      <c r="AI60" s="597"/>
      <c r="AJ60" s="597"/>
      <c r="AK60" s="597"/>
      <c r="AL60" s="598"/>
    </row>
    <row r="61" spans="1:38" x14ac:dyDescent="0.2">
      <c r="A61" s="1114" t="s">
        <v>21</v>
      </c>
      <c r="B61" s="1115"/>
      <c r="C61" s="1115"/>
      <c r="D61" s="1116">
        <f>$I$14</f>
        <v>2300</v>
      </c>
      <c r="E61" s="1115"/>
      <c r="F61" s="668" t="s">
        <v>153</v>
      </c>
      <c r="G61" s="671" t="s">
        <v>154</v>
      </c>
      <c r="H61" s="666"/>
      <c r="I61" s="666"/>
      <c r="J61" s="666"/>
      <c r="K61" s="666"/>
      <c r="L61" s="666"/>
      <c r="M61" s="670"/>
      <c r="O61" s="11" t="s">
        <v>642</v>
      </c>
      <c r="P61" s="11">
        <v>150</v>
      </c>
      <c r="R61" s="11" t="s">
        <v>228</v>
      </c>
      <c r="S61" s="11">
        <f>((P60/1000)*(P58/1000)^3)/12</f>
        <v>-1.4349563941333338E-7</v>
      </c>
      <c r="Z61" s="1114" t="s">
        <v>21</v>
      </c>
      <c r="AA61" s="1115"/>
      <c r="AB61" s="1115"/>
      <c r="AC61" s="1115">
        <f>INPUT!H18</f>
        <v>0</v>
      </c>
      <c r="AD61" s="1115"/>
      <c r="AE61" s="601" t="s">
        <v>153</v>
      </c>
      <c r="AF61" s="596"/>
      <c r="AG61" s="597"/>
      <c r="AH61" s="597"/>
      <c r="AI61" s="597"/>
      <c r="AJ61" s="597"/>
      <c r="AK61" s="597"/>
      <c r="AL61" s="598"/>
    </row>
    <row r="62" spans="1:38" x14ac:dyDescent="0.2">
      <c r="A62" s="1114" t="s">
        <v>155</v>
      </c>
      <c r="B62" s="1115"/>
      <c r="C62" s="1115"/>
      <c r="D62" s="1116">
        <f>$I$14</f>
        <v>2300</v>
      </c>
      <c r="E62" s="1115"/>
      <c r="F62" s="668" t="s">
        <v>153</v>
      </c>
      <c r="G62" s="671" t="s">
        <v>156</v>
      </c>
      <c r="H62" s="666"/>
      <c r="I62" s="666"/>
      <c r="J62" s="666"/>
      <c r="K62" s="666"/>
      <c r="L62" s="666"/>
      <c r="M62" s="670"/>
      <c r="O62" s="11" t="s">
        <v>643</v>
      </c>
      <c r="P62" s="11">
        <f>(500-P60/2-150)</f>
        <v>135</v>
      </c>
      <c r="R62" s="11" t="s">
        <v>229</v>
      </c>
      <c r="S62" s="11">
        <f>((P62/1000)*(P58/1000)^3)/12</f>
        <v>-4.5050956560000021E-8</v>
      </c>
      <c r="Z62" s="1114" t="s">
        <v>155</v>
      </c>
      <c r="AA62" s="1115"/>
      <c r="AB62" s="1115"/>
      <c r="AC62" s="1115">
        <f>INPUT!H19</f>
        <v>0</v>
      </c>
      <c r="AD62" s="1115"/>
      <c r="AE62" s="601" t="s">
        <v>153</v>
      </c>
      <c r="AF62" s="596"/>
      <c r="AG62" s="597"/>
      <c r="AH62" s="597"/>
      <c r="AI62" s="597"/>
      <c r="AJ62" s="597"/>
      <c r="AK62" s="597"/>
      <c r="AL62" s="598"/>
    </row>
    <row r="63" spans="1:38" x14ac:dyDescent="0.2">
      <c r="A63" s="1114" t="s">
        <v>22</v>
      </c>
      <c r="B63" s="1115"/>
      <c r="C63" s="1115"/>
      <c r="D63" s="1116">
        <f>$I$15</f>
        <v>24000000000</v>
      </c>
      <c r="E63" s="1115"/>
      <c r="F63" s="668" t="s">
        <v>143</v>
      </c>
      <c r="G63" s="1121" t="s">
        <v>18</v>
      </c>
      <c r="H63" s="1113"/>
      <c r="I63" s="1113"/>
      <c r="J63" s="1122">
        <f>S65*1000</f>
        <v>146.6322265336799</v>
      </c>
      <c r="K63" s="1122"/>
      <c r="L63" s="1113" t="s">
        <v>157</v>
      </c>
      <c r="M63" s="1233"/>
      <c r="Z63" s="1114" t="s">
        <v>22</v>
      </c>
      <c r="AA63" s="1115"/>
      <c r="AB63" s="1115"/>
      <c r="AC63" s="1291">
        <f>INPUT!N18</f>
        <v>0</v>
      </c>
      <c r="AD63" s="1115"/>
      <c r="AE63" s="601" t="s">
        <v>143</v>
      </c>
      <c r="AF63" s="1121" t="s">
        <v>18</v>
      </c>
      <c r="AG63" s="1113"/>
      <c r="AH63" s="1113"/>
      <c r="AI63" s="1198" t="e">
        <f>'断面性能算定シート(280)'!AL44</f>
        <v>#DIV/0!</v>
      </c>
      <c r="AJ63" s="1198"/>
      <c r="AK63" s="1113" t="s">
        <v>4</v>
      </c>
      <c r="AL63" s="1233"/>
    </row>
    <row r="64" spans="1:38" x14ac:dyDescent="0.2">
      <c r="A64" s="1114" t="s">
        <v>158</v>
      </c>
      <c r="B64" s="1115"/>
      <c r="C64" s="1115"/>
      <c r="D64" s="1116">
        <f>$I$15</f>
        <v>24000000000</v>
      </c>
      <c r="E64" s="1115"/>
      <c r="F64" s="668" t="s">
        <v>143</v>
      </c>
      <c r="G64" s="1121" t="s">
        <v>0</v>
      </c>
      <c r="H64" s="1113"/>
      <c r="I64" s="1113"/>
      <c r="J64" s="1113">
        <f>(D63*I59+D64*I58)/I57</f>
        <v>24000000000</v>
      </c>
      <c r="K64" s="1113"/>
      <c r="L64" s="1113" t="s">
        <v>159</v>
      </c>
      <c r="M64" s="1233"/>
      <c r="R64" s="11" t="s">
        <v>644</v>
      </c>
      <c r="S64" s="11">
        <f>S60-((S58-(P56/2)/1000)^2)*(1*P56/1000)-((S61+S62*2)+((S58-(P57+P58/2)/1000)^2)*(((P60+P62*2)/1000)*(P58/1000)))</f>
        <v>2.6272841235283731E-4</v>
      </c>
      <c r="Z64" s="1114" t="s">
        <v>158</v>
      </c>
      <c r="AA64" s="1115"/>
      <c r="AB64" s="1115"/>
      <c r="AC64" s="1291">
        <f>INPUT!N19</f>
        <v>0</v>
      </c>
      <c r="AD64" s="1115"/>
      <c r="AE64" s="601" t="s">
        <v>143</v>
      </c>
      <c r="AF64" s="1121" t="s">
        <v>0</v>
      </c>
      <c r="AG64" s="1113"/>
      <c r="AH64" s="1113"/>
      <c r="AI64" s="1303">
        <f>AC64</f>
        <v>0</v>
      </c>
      <c r="AJ64" s="1303"/>
      <c r="AK64" s="1113" t="s">
        <v>159</v>
      </c>
      <c r="AL64" s="1233"/>
    </row>
    <row r="65" spans="1:38" ht="12" thickBot="1" x14ac:dyDescent="0.25">
      <c r="A65" s="1117" t="s">
        <v>23</v>
      </c>
      <c r="B65" s="1118"/>
      <c r="C65" s="1118"/>
      <c r="D65" s="1118">
        <f>(B56+B58)*1000</f>
        <v>140</v>
      </c>
      <c r="E65" s="1118"/>
      <c r="F65" s="669" t="s">
        <v>4</v>
      </c>
      <c r="G65" s="1119" t="s">
        <v>1</v>
      </c>
      <c r="H65" s="1120"/>
      <c r="I65" s="1120"/>
      <c r="J65" s="1120">
        <f>D61*F56/F58+D62*F57/F58</f>
        <v>2300</v>
      </c>
      <c r="K65" s="1120"/>
      <c r="L65" s="1120" t="s">
        <v>160</v>
      </c>
      <c r="M65" s="1232"/>
      <c r="R65" s="11" t="s">
        <v>645</v>
      </c>
      <c r="S65" s="11">
        <f>(12*S64)^(1/3)</f>
        <v>0.14663222653367991</v>
      </c>
      <c r="Z65" s="1117" t="s">
        <v>23</v>
      </c>
      <c r="AA65" s="1118"/>
      <c r="AB65" s="1118"/>
      <c r="AC65" s="1118">
        <f>(AA56+AA58)*1000</f>
        <v>140</v>
      </c>
      <c r="AD65" s="1118"/>
      <c r="AE65" s="615" t="s">
        <v>24</v>
      </c>
      <c r="AF65" s="1119" t="s">
        <v>1</v>
      </c>
      <c r="AG65" s="1120"/>
      <c r="AH65" s="1120"/>
      <c r="AI65" s="1120">
        <f>AC62</f>
        <v>0</v>
      </c>
      <c r="AJ65" s="1120"/>
      <c r="AK65" s="1120" t="s">
        <v>160</v>
      </c>
      <c r="AL65" s="1232"/>
    </row>
    <row r="66" spans="1:38" x14ac:dyDescent="0.2">
      <c r="A66" s="616" t="s">
        <v>328</v>
      </c>
      <c r="B66" s="18"/>
      <c r="C66" s="18"/>
      <c r="D66" s="18"/>
      <c r="E66" s="18"/>
      <c r="F66" s="18"/>
      <c r="G66" s="26"/>
      <c r="H66" s="592"/>
      <c r="I66" s="592"/>
      <c r="J66" s="592"/>
      <c r="K66" s="592"/>
      <c r="L66" s="592"/>
      <c r="M66" s="593"/>
    </row>
    <row r="67" spans="1:38" x14ac:dyDescent="0.2">
      <c r="A67" s="13" t="s">
        <v>27</v>
      </c>
      <c r="B67" s="1111">
        <f>INPUT!$C$16/1000</f>
        <v>0</v>
      </c>
      <c r="C67" s="1111"/>
      <c r="D67" s="14" t="s">
        <v>7</v>
      </c>
      <c r="E67" s="721" t="s">
        <v>59</v>
      </c>
      <c r="F67" s="1112">
        <f>(B67-B68)+2*B70*B68</f>
        <v>0</v>
      </c>
      <c r="G67" s="1112"/>
      <c r="H67" s="721" t="s">
        <v>60</v>
      </c>
      <c r="I67" s="1194">
        <f>F71/F69</f>
        <v>7.0000000000000007E-2</v>
      </c>
      <c r="J67" s="1194"/>
      <c r="K67" s="719"/>
      <c r="L67" s="15" t="s">
        <v>145</v>
      </c>
      <c r="M67" s="16">
        <f>(B70+B70+B71)*1000</f>
        <v>0</v>
      </c>
      <c r="O67" s="11" t="s">
        <v>634</v>
      </c>
      <c r="P67" s="11">
        <f>(B67+B69)*1000</f>
        <v>140</v>
      </c>
      <c r="R67" s="11" t="s">
        <v>635</v>
      </c>
      <c r="S67" s="11">
        <f>1*(P67/1000)*((P67/1000)/2)-((P73+P71+P73)/1000)*(P69/1000)*((P68/1000)+(P69/1000)/2)</f>
        <v>1.1917864000000002E-2</v>
      </c>
    </row>
    <row r="68" spans="1:38" x14ac:dyDescent="0.2">
      <c r="A68" s="13" t="s">
        <v>69</v>
      </c>
      <c r="B68" s="1111">
        <f>(INPUT!$C$17)/1000</f>
        <v>0</v>
      </c>
      <c r="C68" s="1111"/>
      <c r="D68" s="14" t="s">
        <v>7</v>
      </c>
      <c r="E68" s="721" t="s">
        <v>73</v>
      </c>
      <c r="F68" s="1112">
        <f>B69</f>
        <v>0.14000000000000001</v>
      </c>
      <c r="G68" s="1112"/>
      <c r="H68" s="721" t="s">
        <v>77</v>
      </c>
      <c r="I68" s="1194">
        <f>F70^3/12+(I67-F70/2)^2*F70-((1-2*B70)*B68^3/12+(I67-(B69+B68/2))^2*B68*(1-2*B70))</f>
        <v>2.2866666666666673E-4</v>
      </c>
      <c r="J68" s="1194"/>
      <c r="K68" s="719"/>
      <c r="L68" s="15" t="s">
        <v>149</v>
      </c>
      <c r="M68" s="17">
        <f>(3*B71+2*B70)*1000</f>
        <v>0</v>
      </c>
      <c r="O68" s="11" t="s">
        <v>636</v>
      </c>
      <c r="P68" s="11">
        <f>B69*1000</f>
        <v>140</v>
      </c>
      <c r="R68" s="11" t="s">
        <v>637</v>
      </c>
      <c r="S68" s="11">
        <f>(1*P67/1000)-((P71+P73*2)/1000)*(P69/1000)</f>
        <v>0.15652000000000002</v>
      </c>
    </row>
    <row r="69" spans="1:38" x14ac:dyDescent="0.2">
      <c r="A69" s="13" t="s">
        <v>72</v>
      </c>
      <c r="B69" s="1111">
        <f>INPUT!$C$15/1000</f>
        <v>0.14000000000000001</v>
      </c>
      <c r="C69" s="1111"/>
      <c r="D69" s="14" t="s">
        <v>7</v>
      </c>
      <c r="E69" s="721" t="s">
        <v>79</v>
      </c>
      <c r="F69" s="1112">
        <f>F67+F68</f>
        <v>0.14000000000000001</v>
      </c>
      <c r="G69" s="1112"/>
      <c r="H69" s="721" t="s">
        <v>78</v>
      </c>
      <c r="I69" s="1194">
        <f>B69^3/12+(I67-B69/2)^2*B69</f>
        <v>2.2866666666666673E-4</v>
      </c>
      <c r="J69" s="1194"/>
      <c r="K69" s="719"/>
      <c r="L69" s="1195" t="s">
        <v>29</v>
      </c>
      <c r="M69" s="1196"/>
      <c r="O69" s="11" t="s">
        <v>638</v>
      </c>
      <c r="P69" s="680">
        <f>B68*1000-23.6</f>
        <v>-23.6</v>
      </c>
      <c r="R69" s="11" t="s">
        <v>639</v>
      </c>
      <c r="S69" s="11">
        <f>S67/S68</f>
        <v>7.6142754919499109E-2</v>
      </c>
    </row>
    <row r="70" spans="1:38" x14ac:dyDescent="0.2">
      <c r="A70" s="13" t="s">
        <v>61</v>
      </c>
      <c r="B70" s="1111">
        <f>INPUT!$C$19/1000</f>
        <v>0</v>
      </c>
      <c r="C70" s="1111"/>
      <c r="D70" s="14" t="s">
        <v>7</v>
      </c>
      <c r="E70" s="721" t="s">
        <v>63</v>
      </c>
      <c r="F70" s="1112">
        <f>B67+B69</f>
        <v>0.14000000000000001</v>
      </c>
      <c r="G70" s="1112"/>
      <c r="H70" s="721" t="s">
        <v>64</v>
      </c>
      <c r="I70" s="1194">
        <f>I68-I69</f>
        <v>0</v>
      </c>
      <c r="J70" s="1194"/>
      <c r="K70" s="719"/>
      <c r="L70" s="1197" t="str">
        <f>IF(M67&lt;=1000,IF(M68&gt;1000,"OK","NG"),"NG")</f>
        <v>NG</v>
      </c>
      <c r="M70" s="1196"/>
      <c r="O70" s="11" t="s">
        <v>640</v>
      </c>
      <c r="P70" s="680">
        <f>P67-P68-P69</f>
        <v>23.6</v>
      </c>
    </row>
    <row r="71" spans="1:38" x14ac:dyDescent="0.2">
      <c r="A71" s="13" t="s">
        <v>65</v>
      </c>
      <c r="B71" s="1111">
        <f>INPUT!$C$18/1000</f>
        <v>0</v>
      </c>
      <c r="C71" s="1111"/>
      <c r="D71" s="14" t="s">
        <v>7</v>
      </c>
      <c r="E71" s="721" t="s">
        <v>66</v>
      </c>
      <c r="F71" s="1112">
        <f>F70^2/2-((B68-2*B68*B70)*(B69+B68/2))</f>
        <v>9.8000000000000014E-3</v>
      </c>
      <c r="G71" s="1112"/>
      <c r="H71" s="1113"/>
      <c r="I71" s="1113"/>
      <c r="J71" s="1113"/>
      <c r="K71" s="719"/>
      <c r="L71" s="719"/>
      <c r="M71" s="720"/>
      <c r="O71" s="11" t="s">
        <v>641</v>
      </c>
      <c r="P71" s="11">
        <v>430</v>
      </c>
      <c r="R71" s="11" t="s">
        <v>227</v>
      </c>
      <c r="S71" s="11">
        <f>(1*(P67/1000)^3)/12</f>
        <v>2.2866666666666673E-4</v>
      </c>
    </row>
    <row r="72" spans="1:38" x14ac:dyDescent="0.2">
      <c r="A72" s="1114" t="s">
        <v>21</v>
      </c>
      <c r="B72" s="1115"/>
      <c r="C72" s="1115"/>
      <c r="D72" s="1116">
        <f>$I$14</f>
        <v>2300</v>
      </c>
      <c r="E72" s="1115"/>
      <c r="F72" s="601" t="s">
        <v>153</v>
      </c>
      <c r="G72" s="596"/>
      <c r="H72" s="597"/>
      <c r="I72" s="597"/>
      <c r="J72" s="597"/>
      <c r="K72" s="597"/>
      <c r="L72" s="597"/>
      <c r="M72" s="598"/>
      <c r="O72" s="11" t="s">
        <v>642</v>
      </c>
      <c r="P72" s="11">
        <v>150</v>
      </c>
      <c r="R72" s="11" t="s">
        <v>228</v>
      </c>
      <c r="S72" s="11">
        <f>((P71/1000)*(P69/1000)^3)/12</f>
        <v>-4.7100250666666682E-7</v>
      </c>
    </row>
    <row r="73" spans="1:38" x14ac:dyDescent="0.2">
      <c r="A73" s="1114" t="s">
        <v>155</v>
      </c>
      <c r="B73" s="1115"/>
      <c r="C73" s="1115"/>
      <c r="D73" s="1116">
        <f>$I$14</f>
        <v>2300</v>
      </c>
      <c r="E73" s="1115"/>
      <c r="F73" s="601" t="s">
        <v>153</v>
      </c>
      <c r="G73" s="596"/>
      <c r="H73" s="597"/>
      <c r="I73" s="597"/>
      <c r="J73" s="597"/>
      <c r="K73" s="597"/>
      <c r="L73" s="597"/>
      <c r="M73" s="598"/>
      <c r="O73" s="11" t="s">
        <v>643</v>
      </c>
      <c r="P73" s="11">
        <f>(500-P71/2-150)</f>
        <v>135</v>
      </c>
      <c r="R73" s="11" t="s">
        <v>229</v>
      </c>
      <c r="S73" s="11">
        <f>((P73/1000)*(P69/1000)^3)/12</f>
        <v>-1.4787288000000006E-7</v>
      </c>
    </row>
    <row r="74" spans="1:38" x14ac:dyDescent="0.2">
      <c r="A74" s="1114" t="s">
        <v>22</v>
      </c>
      <c r="B74" s="1115"/>
      <c r="C74" s="1115"/>
      <c r="D74" s="1116">
        <f>$I$15</f>
        <v>24000000000</v>
      </c>
      <c r="E74" s="1115"/>
      <c r="F74" s="601" t="s">
        <v>143</v>
      </c>
      <c r="G74" s="1121" t="s">
        <v>18</v>
      </c>
      <c r="H74" s="1113"/>
      <c r="I74" s="1113"/>
      <c r="J74" s="1122">
        <f>S76*1000</f>
        <v>147.77502085737842</v>
      </c>
      <c r="K74" s="1122"/>
      <c r="L74" s="1113" t="s">
        <v>4</v>
      </c>
      <c r="M74" s="1233"/>
    </row>
    <row r="75" spans="1:38" x14ac:dyDescent="0.2">
      <c r="A75" s="1114" t="s">
        <v>158</v>
      </c>
      <c r="B75" s="1115"/>
      <c r="C75" s="1115"/>
      <c r="D75" s="1116">
        <f>$I$15</f>
        <v>24000000000</v>
      </c>
      <c r="E75" s="1115"/>
      <c r="F75" s="601" t="s">
        <v>143</v>
      </c>
      <c r="G75" s="1121" t="s">
        <v>0</v>
      </c>
      <c r="H75" s="1113"/>
      <c r="I75" s="1113"/>
      <c r="J75" s="1113">
        <f>(D74*I70+D75*I69)/I68</f>
        <v>24000000000</v>
      </c>
      <c r="K75" s="1113"/>
      <c r="L75" s="1113" t="s">
        <v>159</v>
      </c>
      <c r="M75" s="1233"/>
      <c r="R75" s="11" t="s">
        <v>644</v>
      </c>
      <c r="S75" s="11">
        <f>S71-((S69-(P67/2)/1000)^2)*(1*P67/1000)-((S72+S73*2)+((S69-(P68+P69/2)/1000)^2)*(((P71+P73*2)/1000)*(P69/1000)))</f>
        <v>2.6891921937712351E-4</v>
      </c>
    </row>
    <row r="76" spans="1:38" ht="12" thickBot="1" x14ac:dyDescent="0.25">
      <c r="A76" s="1114" t="s">
        <v>23</v>
      </c>
      <c r="B76" s="1115"/>
      <c r="C76" s="1115"/>
      <c r="D76" s="1115">
        <f>AC65</f>
        <v>140</v>
      </c>
      <c r="E76" s="1115"/>
      <c r="F76" s="601" t="s">
        <v>24</v>
      </c>
      <c r="G76" s="1121" t="s">
        <v>1</v>
      </c>
      <c r="H76" s="1113"/>
      <c r="I76" s="1113"/>
      <c r="J76" s="1120">
        <f>D72*F67/F69+D73*F68/F69</f>
        <v>2300</v>
      </c>
      <c r="K76" s="1120"/>
      <c r="L76" s="1113" t="s">
        <v>160</v>
      </c>
      <c r="M76" s="1233"/>
      <c r="R76" s="11" t="s">
        <v>645</v>
      </c>
      <c r="S76" s="11">
        <f>(12*S75)^(1/3)</f>
        <v>0.14777502085737843</v>
      </c>
    </row>
    <row r="77" spans="1:38" ht="14.25" x14ac:dyDescent="0.2">
      <c r="A77" s="1292"/>
      <c r="B77" s="1293"/>
      <c r="C77" s="1293"/>
      <c r="D77" s="1141" t="s">
        <v>18</v>
      </c>
      <c r="E77" s="1142"/>
      <c r="F77" s="1142"/>
      <c r="G77" s="1141" t="s">
        <v>1</v>
      </c>
      <c r="H77" s="1142"/>
      <c r="I77" s="1142"/>
      <c r="J77" s="1141" t="s">
        <v>0</v>
      </c>
      <c r="K77" s="1142"/>
      <c r="L77" s="1142"/>
      <c r="M77" s="593"/>
      <c r="AJ77" s="373"/>
    </row>
    <row r="78" spans="1:38" ht="14.25" x14ac:dyDescent="0.2">
      <c r="A78" s="625" t="s">
        <v>354</v>
      </c>
      <c r="B78" s="22"/>
      <c r="C78" s="22"/>
      <c r="D78" s="1297">
        <f>I13</f>
        <v>140</v>
      </c>
      <c r="E78" s="1297"/>
      <c r="F78" s="1297"/>
      <c r="G78" s="1297">
        <f>I14</f>
        <v>2300</v>
      </c>
      <c r="H78" s="1297"/>
      <c r="I78" s="1297"/>
      <c r="J78" s="1297">
        <f>I15</f>
        <v>24000000000</v>
      </c>
      <c r="K78" s="1297"/>
      <c r="L78" s="1297"/>
      <c r="M78" s="598"/>
      <c r="AJ78" s="414"/>
    </row>
    <row r="79" spans="1:38" ht="14.25" x14ac:dyDescent="0.2">
      <c r="A79" s="625" t="s">
        <v>355</v>
      </c>
      <c r="B79" s="22"/>
      <c r="C79" s="22"/>
      <c r="D79" s="1297" t="str">
        <f>J24</f>
        <v>※</v>
      </c>
      <c r="E79" s="1297"/>
      <c r="F79" s="1297"/>
      <c r="G79" s="1297">
        <f>J26</f>
        <v>2300</v>
      </c>
      <c r="H79" s="1297"/>
      <c r="I79" s="1297"/>
      <c r="J79" s="1297">
        <f>J25</f>
        <v>24000000000</v>
      </c>
      <c r="K79" s="1297"/>
      <c r="L79" s="1297"/>
      <c r="M79" s="598"/>
      <c r="AJ79" s="414"/>
    </row>
    <row r="80" spans="1:38" ht="14.25" x14ac:dyDescent="0.2">
      <c r="A80" s="625" t="s">
        <v>356</v>
      </c>
      <c r="B80" s="22"/>
      <c r="C80" s="22"/>
      <c r="D80" s="1297" t="e">
        <f>J35</f>
        <v>#DIV/0!</v>
      </c>
      <c r="E80" s="1297"/>
      <c r="F80" s="1297"/>
      <c r="G80" s="1297" t="e">
        <f>J37</f>
        <v>#DIV/0!</v>
      </c>
      <c r="H80" s="1297"/>
      <c r="I80" s="1297"/>
      <c r="J80" s="1297" t="e">
        <f>J36</f>
        <v>#DIV/0!</v>
      </c>
      <c r="K80" s="1297"/>
      <c r="L80" s="1297"/>
      <c r="M80" s="598"/>
      <c r="AJ80" s="414"/>
    </row>
    <row r="81" spans="1:36" ht="14.25" x14ac:dyDescent="0.2">
      <c r="A81" s="625" t="s">
        <v>357</v>
      </c>
      <c r="B81" s="22"/>
      <c r="C81" s="22"/>
      <c r="D81" s="1297">
        <f>J44</f>
        <v>140</v>
      </c>
      <c r="E81" s="1297"/>
      <c r="F81" s="1297"/>
      <c r="G81" s="1297">
        <f>J46</f>
        <v>2300</v>
      </c>
      <c r="H81" s="1297"/>
      <c r="I81" s="1297"/>
      <c r="J81" s="1297">
        <f>J45</f>
        <v>24000000000</v>
      </c>
      <c r="K81" s="1297"/>
      <c r="L81" s="1297"/>
      <c r="M81" s="598"/>
      <c r="AJ81" s="414"/>
    </row>
    <row r="82" spans="1:36" ht="14.25" x14ac:dyDescent="0.2">
      <c r="A82" s="625" t="s">
        <v>358</v>
      </c>
      <c r="B82" s="22"/>
      <c r="C82" s="22"/>
      <c r="D82" s="1297" t="e">
        <f>J52</f>
        <v>#DIV/0!</v>
      </c>
      <c r="E82" s="1297"/>
      <c r="F82" s="1297"/>
      <c r="G82" s="1297">
        <f>J54</f>
        <v>2300</v>
      </c>
      <c r="H82" s="1297"/>
      <c r="I82" s="1297"/>
      <c r="J82" s="1297">
        <f>J53</f>
        <v>24000000000</v>
      </c>
      <c r="K82" s="1297"/>
      <c r="L82" s="1297"/>
      <c r="M82" s="598"/>
      <c r="AJ82" s="414"/>
    </row>
    <row r="83" spans="1:36" ht="14.25" x14ac:dyDescent="0.2">
      <c r="A83" s="625" t="s">
        <v>359</v>
      </c>
      <c r="B83" s="22"/>
      <c r="C83" s="22"/>
      <c r="D83" s="1297">
        <f>J63</f>
        <v>146.6322265336799</v>
      </c>
      <c r="E83" s="1297"/>
      <c r="F83" s="1297"/>
      <c r="G83" s="1297">
        <f>J65</f>
        <v>2300</v>
      </c>
      <c r="H83" s="1297"/>
      <c r="I83" s="1297"/>
      <c r="J83" s="1297">
        <f>J64</f>
        <v>24000000000</v>
      </c>
      <c r="K83" s="1297"/>
      <c r="L83" s="1297"/>
      <c r="M83" s="598"/>
      <c r="AJ83" s="3"/>
    </row>
    <row r="84" spans="1:36" ht="15" thickBot="1" x14ac:dyDescent="0.25">
      <c r="A84" s="624" t="s">
        <v>360</v>
      </c>
      <c r="B84" s="185"/>
      <c r="C84" s="185"/>
      <c r="D84" s="1335">
        <f>J74</f>
        <v>147.77502085737842</v>
      </c>
      <c r="E84" s="1335"/>
      <c r="F84" s="1335"/>
      <c r="G84" s="1335">
        <f>G83</f>
        <v>2300</v>
      </c>
      <c r="H84" s="1335"/>
      <c r="I84" s="1335"/>
      <c r="J84" s="1335">
        <f>J83</f>
        <v>24000000000</v>
      </c>
      <c r="K84" s="1335"/>
      <c r="L84" s="1335"/>
      <c r="M84" s="604"/>
      <c r="AJ84" s="3"/>
    </row>
    <row r="85" spans="1:36" ht="15" thickBot="1" x14ac:dyDescent="0.25">
      <c r="A85" s="1300" t="s">
        <v>34</v>
      </c>
      <c r="B85" s="1298"/>
      <c r="C85" s="1298"/>
      <c r="D85" s="1298"/>
      <c r="E85" s="1298">
        <f>Calculation!Q13</f>
        <v>6</v>
      </c>
      <c r="F85" s="1298"/>
      <c r="G85" s="1269" t="str">
        <f>T(IF(E85=1,"均質単板スラブ",IF(E85=2,"矩形中空合成床板",IF(E85=3,"円形中空合成床板",IF(E85=4,"合成床板",IF(E85=5,"円形中空合成床板",IF(E85=6,"サイレントボイドスラブ",IF(E85=7,"打ち込みサイレントボイドスラブ","NG"))))))))</f>
        <v>サイレントボイドスラブ</v>
      </c>
      <c r="H85" s="1269"/>
      <c r="I85" s="1269"/>
      <c r="J85" s="1269"/>
      <c r="K85" s="1269"/>
      <c r="L85" s="1269"/>
      <c r="M85" s="1302"/>
      <c r="AJ85" s="3"/>
    </row>
    <row r="86" spans="1:36" ht="14.25" x14ac:dyDescent="0.2">
      <c r="A86" s="618" t="s">
        <v>93</v>
      </c>
      <c r="B86" s="619"/>
      <c r="C86" s="614">
        <f>IF(E85=1,I13,IF(E85=2,D26,IF(E85=3,D37,IF(E85=4,D45,IF(E85=5,D54,IF(E85=6,AC65,IF(E85=7,AC65,"NG")))))))</f>
        <v>140</v>
      </c>
      <c r="D86" s="619" t="s">
        <v>95</v>
      </c>
      <c r="E86" s="619"/>
      <c r="F86" s="619"/>
      <c r="G86" s="1299" t="s">
        <v>18</v>
      </c>
      <c r="H86" s="1286"/>
      <c r="I86" s="1286"/>
      <c r="J86" s="1328">
        <f>IF(E85=1,D78,IF(E85=2,D79,IF(E85=3,D80,IF(E85=4,D81,IF(E85=5,D82,IF(E85=6,D83,IF(E85=7,D84,"NG")))))))</f>
        <v>146.6322265336799</v>
      </c>
      <c r="K86" s="1328"/>
      <c r="L86" s="1286" t="s">
        <v>4</v>
      </c>
      <c r="M86" s="1287"/>
      <c r="AJ86" s="3"/>
    </row>
    <row r="87" spans="1:36" ht="14.25" x14ac:dyDescent="0.2">
      <c r="A87" s="24"/>
      <c r="B87" s="609"/>
      <c r="C87" s="609"/>
      <c r="D87" s="609"/>
      <c r="E87" s="609"/>
      <c r="F87" s="609"/>
      <c r="G87" s="1327" t="s">
        <v>1</v>
      </c>
      <c r="H87" s="1288"/>
      <c r="I87" s="1288"/>
      <c r="J87" s="1290">
        <f>IF(E85=1,G78,IF(E85=2,G78,IF(E85=3,G80,IF(E85=4,G81,IF(E85=5,G82,IF(E85=6,G83,IF(E85=7,G84,"NG")))))))</f>
        <v>2300</v>
      </c>
      <c r="K87" s="1290"/>
      <c r="L87" s="1288" t="s">
        <v>159</v>
      </c>
      <c r="M87" s="1289"/>
      <c r="AJ87" s="3"/>
    </row>
    <row r="88" spans="1:36" ht="15" thickBot="1" x14ac:dyDescent="0.25">
      <c r="A88" s="25"/>
      <c r="B88" s="595"/>
      <c r="C88" s="595"/>
      <c r="D88" s="595"/>
      <c r="E88" s="595"/>
      <c r="F88" s="595"/>
      <c r="G88" s="1318" t="s">
        <v>0</v>
      </c>
      <c r="H88" s="1295"/>
      <c r="I88" s="1295"/>
      <c r="J88" s="1301">
        <f>IF(E85=1,J78,IF(E85=2,J79,IF(E85=3,J80,IF(E85=4,J81,IF(E85=5,J82,IF(E85=6,J83,IF(E85=7,J84,"NG")))))))</f>
        <v>24000000000</v>
      </c>
      <c r="K88" s="1301"/>
      <c r="L88" s="1295" t="s">
        <v>160</v>
      </c>
      <c r="M88" s="1296"/>
      <c r="AJ88" s="3"/>
    </row>
    <row r="89" spans="1:36" ht="15" thickBot="1" x14ac:dyDescent="0.25">
      <c r="A89" s="1200" t="s">
        <v>412</v>
      </c>
      <c r="B89" s="1226"/>
      <c r="C89" s="1226"/>
      <c r="D89" s="1226"/>
      <c r="E89" s="1226"/>
      <c r="F89" s="1226"/>
      <c r="G89" s="1226"/>
      <c r="H89" s="1226"/>
      <c r="I89" s="1226"/>
      <c r="J89" s="1226"/>
      <c r="K89" s="1226"/>
      <c r="L89" s="1226"/>
      <c r="M89" s="1227"/>
      <c r="AJ89" s="3"/>
    </row>
    <row r="90" spans="1:36" ht="14.25" x14ac:dyDescent="0.2">
      <c r="A90" s="1294" t="s">
        <v>3</v>
      </c>
      <c r="B90" s="1286"/>
      <c r="C90" s="1286"/>
      <c r="D90" s="1286"/>
      <c r="E90" s="1304">
        <f>IF(J86&lt;&gt;"NG",2.31*J87^0.5*J88^0.5*(J86/1000)^2,"NG")</f>
        <v>369011.904617347</v>
      </c>
      <c r="F90" s="1304"/>
      <c r="G90" s="619" t="s">
        <v>55</v>
      </c>
      <c r="H90" s="619"/>
      <c r="I90" s="619"/>
      <c r="J90" s="619"/>
      <c r="K90" s="619"/>
      <c r="L90" s="619"/>
      <c r="M90" s="622"/>
      <c r="AJ90" s="3"/>
    </row>
    <row r="91" spans="1:36" ht="12" thickBot="1" x14ac:dyDescent="0.25">
      <c r="A91" s="1311" t="s">
        <v>2</v>
      </c>
      <c r="B91" s="1295"/>
      <c r="C91" s="1295"/>
      <c r="D91" s="1295"/>
      <c r="E91" s="1329">
        <f>IF(E90&lt;&gt;"NG",20*LOG(E90),"NG")</f>
        <v>111.34080754140484</v>
      </c>
      <c r="F91" s="1329"/>
      <c r="G91" s="595" t="s">
        <v>56</v>
      </c>
      <c r="H91" s="595"/>
      <c r="I91" s="595"/>
      <c r="J91" s="595"/>
      <c r="K91" s="595"/>
      <c r="L91" s="595"/>
      <c r="M91" s="620"/>
    </row>
    <row r="92" spans="1:36" s="364" customFormat="1" ht="12" thickBot="1" x14ac:dyDescent="0.25">
      <c r="A92" s="360" t="s">
        <v>516</v>
      </c>
      <c r="B92" s="361"/>
      <c r="C92" s="361"/>
      <c r="D92" s="361"/>
      <c r="E92" s="362"/>
      <c r="F92" s="362"/>
      <c r="G92" s="361"/>
      <c r="H92" s="361"/>
      <c r="I92" s="361"/>
      <c r="J92" s="361"/>
      <c r="K92" s="361"/>
      <c r="L92" s="361"/>
      <c r="M92" s="363"/>
    </row>
    <row r="93" spans="1:36" ht="13.5" thickBot="1" x14ac:dyDescent="0.25">
      <c r="A93" s="1306" t="s">
        <v>409</v>
      </c>
      <c r="B93" s="1307"/>
      <c r="C93" s="1307"/>
      <c r="D93" s="1307"/>
      <c r="E93" s="1307"/>
      <c r="F93" s="1307"/>
      <c r="G93" s="1307"/>
      <c r="H93" s="1307"/>
      <c r="I93" s="1307"/>
      <c r="J93" s="1307"/>
      <c r="K93" s="1307"/>
      <c r="L93" s="1307"/>
      <c r="M93" s="1308"/>
    </row>
    <row r="94" spans="1:36" x14ac:dyDescent="0.2">
      <c r="A94" s="616" t="s">
        <v>169</v>
      </c>
      <c r="B94" s="592"/>
      <c r="C94" s="592"/>
      <c r="D94" s="592"/>
      <c r="E94" s="610" t="s">
        <v>82</v>
      </c>
      <c r="F94" s="1141" t="s">
        <v>5</v>
      </c>
      <c r="G94" s="1142"/>
      <c r="H94" s="1326">
        <f>SQRT(J88/J87)</f>
        <v>3230.2914123489932</v>
      </c>
      <c r="I94" s="1326"/>
      <c r="J94" s="592" t="s">
        <v>83</v>
      </c>
      <c r="K94" s="592"/>
      <c r="L94" s="592"/>
      <c r="M94" s="593"/>
    </row>
    <row r="95" spans="1:36" x14ac:dyDescent="0.2">
      <c r="A95" s="12" t="s">
        <v>170</v>
      </c>
      <c r="B95" s="597"/>
      <c r="C95" s="597"/>
      <c r="D95" s="597"/>
      <c r="E95" s="597"/>
      <c r="F95" s="597"/>
      <c r="G95" s="597"/>
      <c r="H95" s="597"/>
      <c r="I95" s="597"/>
      <c r="J95" s="597"/>
      <c r="K95" s="597"/>
      <c r="L95" s="597"/>
      <c r="M95" s="598"/>
    </row>
    <row r="96" spans="1:36" x14ac:dyDescent="0.2">
      <c r="A96" s="1192" t="s">
        <v>171</v>
      </c>
      <c r="B96" s="1147"/>
      <c r="C96" s="1147"/>
      <c r="D96" s="613">
        <v>25</v>
      </c>
      <c r="E96" s="613">
        <v>31.5</v>
      </c>
      <c r="F96" s="613">
        <v>63</v>
      </c>
      <c r="G96" s="613">
        <v>125</v>
      </c>
      <c r="H96" s="613">
        <v>250</v>
      </c>
      <c r="I96" s="613">
        <v>500</v>
      </c>
      <c r="J96" s="613">
        <v>1000</v>
      </c>
      <c r="K96" s="613">
        <v>2000</v>
      </c>
      <c r="L96" s="613">
        <v>4000</v>
      </c>
      <c r="M96" s="597"/>
      <c r="N96" s="598"/>
    </row>
    <row r="97" spans="1:14" ht="12" thickBot="1" x14ac:dyDescent="0.25">
      <c r="A97" s="1309" t="s">
        <v>172</v>
      </c>
      <c r="B97" s="1310"/>
      <c r="C97" s="1310"/>
      <c r="D97" s="608">
        <f>SQRT(PI()*$H$94*(($J$86/1000)/SQRT(3)/D96))</f>
        <v>5.8621939690438936</v>
      </c>
      <c r="E97" s="608">
        <f>SQRT(PI()*$H$94*(($J$86/1000)/SQRT(3)/E96))</f>
        <v>5.2224574683273177</v>
      </c>
      <c r="F97" s="608">
        <f>SQRT(PI()*$H$94*(($J$86/1000)/SQRT(3)/F96))</f>
        <v>3.6928350903125753</v>
      </c>
      <c r="G97" s="608">
        <f t="shared" ref="G97:L97" si="2">SQRT(PI()*$H$94*(($J$86/1000)/SQRT(3)/G96))</f>
        <v>2.6216528424142886</v>
      </c>
      <c r="H97" s="608">
        <f t="shared" si="2"/>
        <v>1.8537885027881309</v>
      </c>
      <c r="I97" s="608">
        <f t="shared" si="2"/>
        <v>1.3108264212071443</v>
      </c>
      <c r="J97" s="608">
        <f t="shared" si="2"/>
        <v>0.92689425139406545</v>
      </c>
      <c r="K97" s="608">
        <f t="shared" si="2"/>
        <v>0.65541321060357216</v>
      </c>
      <c r="L97" s="608">
        <f t="shared" si="2"/>
        <v>0.46344712569703272</v>
      </c>
      <c r="M97" s="603"/>
      <c r="N97" s="604"/>
    </row>
    <row r="98" spans="1:14" ht="13.5" thickBot="1" x14ac:dyDescent="0.25">
      <c r="A98" s="1330" t="s">
        <v>329</v>
      </c>
      <c r="B98" s="1331"/>
      <c r="C98" s="1331"/>
      <c r="D98" s="1331"/>
      <c r="E98" s="1331"/>
      <c r="F98" s="1331"/>
      <c r="G98" s="1331"/>
      <c r="H98" s="1331"/>
      <c r="I98" s="1331"/>
      <c r="J98" s="1331"/>
      <c r="K98" s="1331"/>
      <c r="L98" s="1331"/>
      <c r="M98" s="1332"/>
    </row>
    <row r="99" spans="1:14" ht="12.75" x14ac:dyDescent="0.2">
      <c r="A99" s="540">
        <f>IF(INPUT!B26&lt;&gt;"",INPUT!B26,"")</f>
        <v>500</v>
      </c>
      <c r="B99" s="530" t="str">
        <f>IF(INPUT!H26&lt;&gt;"",INPUT!H26,"")</f>
        <v/>
      </c>
      <c r="C99" s="530">
        <f>IF(A99&lt;500,1,0)</f>
        <v>0</v>
      </c>
      <c r="D99" s="530">
        <f t="shared" ref="C99:D103" si="3">IF(B99&lt;500,1,0)</f>
        <v>0</v>
      </c>
      <c r="E99" s="530">
        <f>SUM(C99:D99)</f>
        <v>0</v>
      </c>
      <c r="F99" s="530" t="str">
        <f>IF(SUM(E99:E103)=0,"OK","NG")</f>
        <v>OK</v>
      </c>
      <c r="L99" s="548"/>
      <c r="M99" s="548"/>
    </row>
    <row r="100" spans="1:14" ht="12.75" x14ac:dyDescent="0.2">
      <c r="A100" s="541">
        <f>IF(INPUT!B27&lt;&gt;"",INPUT!B27,"")</f>
        <v>1500</v>
      </c>
      <c r="B100" s="186" t="str">
        <f>IF(INPUT!H27&lt;&gt;"",INPUT!H27,"")</f>
        <v/>
      </c>
      <c r="C100" s="186">
        <f t="shared" si="3"/>
        <v>0</v>
      </c>
      <c r="D100" s="186">
        <f t="shared" si="3"/>
        <v>0</v>
      </c>
      <c r="E100" s="186">
        <f>SUM(C100:D100)</f>
        <v>0</v>
      </c>
      <c r="F100" s="186"/>
      <c r="L100" s="549"/>
      <c r="M100" s="549"/>
    </row>
    <row r="101" spans="1:14" ht="12.75" x14ac:dyDescent="0.2">
      <c r="A101" s="541">
        <f>IF(INPUT!B28&lt;&gt;"",INPUT!B28,"")</f>
        <v>1000</v>
      </c>
      <c r="B101" s="186">
        <f>IF(INPUT!H28&lt;&gt;"",INPUT!H28,"")</f>
        <v>2000</v>
      </c>
      <c r="C101" s="186">
        <f t="shared" si="3"/>
        <v>0</v>
      </c>
      <c r="D101" s="186">
        <f t="shared" si="3"/>
        <v>0</v>
      </c>
      <c r="E101" s="186">
        <f>SUM(C101:D101)</f>
        <v>0</v>
      </c>
      <c r="F101" s="186"/>
      <c r="L101" s="549"/>
      <c r="M101" s="549"/>
    </row>
    <row r="102" spans="1:14" ht="12.75" x14ac:dyDescent="0.2">
      <c r="A102" s="541">
        <f>IF(INPUT!B29&lt;&gt;"",INPUT!B29,"")</f>
        <v>500</v>
      </c>
      <c r="B102" s="186">
        <f>IF(INPUT!H29&lt;&gt;"",INPUT!H29,"")</f>
        <v>4000</v>
      </c>
      <c r="C102" s="186">
        <f t="shared" si="3"/>
        <v>0</v>
      </c>
      <c r="D102" s="186">
        <f t="shared" si="3"/>
        <v>0</v>
      </c>
      <c r="E102" s="186">
        <f>SUM(C102:D102)</f>
        <v>0</v>
      </c>
      <c r="F102" s="186"/>
      <c r="L102" s="549"/>
      <c r="M102" s="549"/>
    </row>
    <row r="103" spans="1:14" ht="12.75" x14ac:dyDescent="0.2">
      <c r="A103" s="541">
        <f>IF(INPUT!B30&lt;&gt;"",INPUT!B30,"")</f>
        <v>1500</v>
      </c>
      <c r="B103" s="186">
        <f>IF(INPUT!H30&lt;&gt;"",INPUT!H30,"")</f>
        <v>4000</v>
      </c>
      <c r="C103" s="186">
        <f t="shared" si="3"/>
        <v>0</v>
      </c>
      <c r="D103" s="186">
        <f t="shared" si="3"/>
        <v>0</v>
      </c>
      <c r="E103" s="186">
        <f>SUM(C103:D103)</f>
        <v>0</v>
      </c>
      <c r="F103" s="186"/>
      <c r="L103" s="549"/>
      <c r="M103" s="549"/>
    </row>
    <row r="104" spans="1:14" ht="12.75" x14ac:dyDescent="0.2">
      <c r="L104" s="549"/>
      <c r="M104" s="549"/>
    </row>
    <row r="105" spans="1:14" ht="15" thickBot="1" x14ac:dyDescent="0.2">
      <c r="A105" s="351" t="s">
        <v>567</v>
      </c>
      <c r="B105" s="3"/>
      <c r="C105" s="414"/>
      <c r="D105" s="414"/>
      <c r="E105" s="414"/>
      <c r="F105" s="375"/>
      <c r="G105" s="414"/>
      <c r="H105" s="414"/>
      <c r="I105" s="414"/>
      <c r="J105" s="549"/>
      <c r="K105" s="549"/>
      <c r="L105" s="549"/>
      <c r="M105" s="549"/>
    </row>
    <row r="106" spans="1:14" ht="14.25" x14ac:dyDescent="0.2">
      <c r="A106" s="415" t="s">
        <v>570</v>
      </c>
      <c r="B106" s="416"/>
      <c r="C106" s="415" t="s">
        <v>575</v>
      </c>
      <c r="D106" s="422"/>
      <c r="E106" s="426"/>
      <c r="F106" s="415" t="s">
        <v>577</v>
      </c>
      <c r="G106" s="422"/>
      <c r="H106" s="426"/>
      <c r="I106" s="414"/>
      <c r="J106" s="549"/>
      <c r="K106" s="549"/>
    </row>
    <row r="107" spans="1:14" ht="14.25" x14ac:dyDescent="0.2">
      <c r="A107" s="417" t="s">
        <v>568</v>
      </c>
      <c r="B107" s="418" t="s">
        <v>569</v>
      </c>
      <c r="C107" s="417" t="s">
        <v>568</v>
      </c>
      <c r="D107" s="423" t="s">
        <v>569</v>
      </c>
      <c r="E107" s="418" t="s">
        <v>571</v>
      </c>
      <c r="F107" s="417" t="s">
        <v>568</v>
      </c>
      <c r="G107" s="423" t="s">
        <v>569</v>
      </c>
      <c r="H107" s="418" t="s">
        <v>571</v>
      </c>
      <c r="I107" s="414"/>
      <c r="J107" s="549"/>
      <c r="K107" s="549"/>
    </row>
    <row r="108" spans="1:14" ht="14.25" x14ac:dyDescent="0.2">
      <c r="A108" s="417">
        <f>IF(INPUT!B26&gt;=500,0,1)</f>
        <v>0</v>
      </c>
      <c r="B108" s="418">
        <f>IF(INPUT!H26&gt;=500,0,1)</f>
        <v>1</v>
      </c>
      <c r="C108" s="417">
        <f>IF(INPUT!B26&lt;&gt;"",0,1)</f>
        <v>0</v>
      </c>
      <c r="D108" s="423">
        <f>IF(INPUT!H26&lt;&gt;"",0,1)</f>
        <v>1</v>
      </c>
      <c r="E108" s="418">
        <f>IF(C108=D108,IF(C108+D108=0,0,1),IF(C108=1,10,100))</f>
        <v>100</v>
      </c>
      <c r="F108" s="417">
        <f>IF(INPUT!D26&lt;&gt;"",0,1)</f>
        <v>0</v>
      </c>
      <c r="G108" s="423">
        <f>IF(INPUT!J26&lt;&gt;"",0,1)</f>
        <v>0</v>
      </c>
      <c r="H108" s="418">
        <f>IF(F108=G108,IF(F108+G108=0,0,1),IF(F108=1,10,100))</f>
        <v>0</v>
      </c>
      <c r="I108" s="414"/>
      <c r="J108" s="549"/>
      <c r="K108" s="549"/>
    </row>
    <row r="109" spans="1:14" ht="14.25" x14ac:dyDescent="0.2">
      <c r="A109" s="417">
        <f>IF(INPUT!B27&gt;=500,0,1)</f>
        <v>0</v>
      </c>
      <c r="B109" s="418">
        <f>IF(INPUT!H27&gt;=500,0,1)</f>
        <v>1</v>
      </c>
      <c r="C109" s="417">
        <f>IF(INPUT!B27&lt;&gt;"",0,1)</f>
        <v>0</v>
      </c>
      <c r="D109" s="423">
        <f>IF(INPUT!H27&lt;&gt;"",0,1)</f>
        <v>1</v>
      </c>
      <c r="E109" s="418">
        <f>IF(C109=D109,IF(C109+D109=0,0,1),IF(C109=1,10,100))</f>
        <v>100</v>
      </c>
      <c r="F109" s="417">
        <f>IF(INPUT!D27&lt;&gt;"",0,1)</f>
        <v>0</v>
      </c>
      <c r="G109" s="423">
        <f>IF(INPUT!J27&lt;&gt;"",0,1)</f>
        <v>0</v>
      </c>
      <c r="H109" s="418">
        <f>IF(F109=G109,IF(F109+G109=0,0,1),IF(F109=1,10,100))</f>
        <v>0</v>
      </c>
      <c r="I109" s="414"/>
      <c r="J109" s="549"/>
      <c r="K109" s="549"/>
    </row>
    <row r="110" spans="1:14" ht="14.25" x14ac:dyDescent="0.2">
      <c r="A110" s="417">
        <f>IF(INPUT!B28&gt;=500,0,1)</f>
        <v>0</v>
      </c>
      <c r="B110" s="418">
        <f>IF(INPUT!H28&gt;=500,0,1)</f>
        <v>0</v>
      </c>
      <c r="C110" s="417">
        <f>IF(INPUT!B28&lt;&gt;"",0,1)</f>
        <v>0</v>
      </c>
      <c r="D110" s="423">
        <f>IF(INPUT!H28&lt;&gt;"",0,1)</f>
        <v>0</v>
      </c>
      <c r="E110" s="418">
        <f>IF(C110=D110,IF(C110+D110=0,0,1),IF(C110=1,10,100))</f>
        <v>0</v>
      </c>
      <c r="F110" s="417">
        <f>IF(INPUT!D28&lt;&gt;"",0,1)</f>
        <v>0</v>
      </c>
      <c r="G110" s="423">
        <f>IF(INPUT!J28&lt;&gt;"",0,1)</f>
        <v>0</v>
      </c>
      <c r="H110" s="418">
        <f>IF(F110=G110,IF(F110+G110=0,0,1),IF(F110=1,10,100))</f>
        <v>0</v>
      </c>
      <c r="I110" s="3"/>
      <c r="J110" s="549"/>
      <c r="K110" s="549"/>
    </row>
    <row r="111" spans="1:14" ht="14.25" x14ac:dyDescent="0.2">
      <c r="A111" s="417">
        <f>IF(INPUT!B29&gt;=500,0,1)</f>
        <v>0</v>
      </c>
      <c r="B111" s="418">
        <f>IF(INPUT!H29&gt;=500,0,1)</f>
        <v>0</v>
      </c>
      <c r="C111" s="417">
        <f>IF(INPUT!B29&lt;&gt;"",0,1)</f>
        <v>0</v>
      </c>
      <c r="D111" s="423">
        <f>IF(INPUT!H29&lt;&gt;"",0,1)</f>
        <v>0</v>
      </c>
      <c r="E111" s="418">
        <f>IF(C111=D111,IF(C111+D111=0,0,1),IF(C111=1,10,100))</f>
        <v>0</v>
      </c>
      <c r="F111" s="417">
        <f>IF(INPUT!D29&lt;&gt;"",0,1)</f>
        <v>0</v>
      </c>
      <c r="G111" s="423">
        <f>IF(INPUT!J29&lt;&gt;"",0,1)</f>
        <v>0</v>
      </c>
      <c r="H111" s="418">
        <f>IF(F111=G111,IF(F111+G111=0,0,1),IF(F111=1,10,100))</f>
        <v>0</v>
      </c>
      <c r="I111" s="3"/>
      <c r="J111" s="549"/>
      <c r="K111" s="549"/>
    </row>
    <row r="112" spans="1:14" ht="14.25" x14ac:dyDescent="0.2">
      <c r="A112" s="417">
        <f>IF(INPUT!B30&gt;=500,0,1)</f>
        <v>0</v>
      </c>
      <c r="B112" s="418">
        <f>IF(INPUT!H30&gt;=500,0,1)</f>
        <v>0</v>
      </c>
      <c r="C112" s="417">
        <f>IF(INPUT!B30&lt;&gt;"",0,1)</f>
        <v>0</v>
      </c>
      <c r="D112" s="423">
        <f>IF(INPUT!H30&lt;&gt;"",0,1)</f>
        <v>0</v>
      </c>
      <c r="E112" s="418">
        <f>IF(C112=D112,IF(C112+D112=0,0,1),IF(C112=1,10,100))</f>
        <v>0</v>
      </c>
      <c r="F112" s="417">
        <f>IF(INPUT!D30&lt;&gt;"",0,1)</f>
        <v>0</v>
      </c>
      <c r="G112" s="423">
        <f>IF(INPUT!J30&lt;&gt;"",0,1)</f>
        <v>0</v>
      </c>
      <c r="H112" s="418">
        <f>IF(F112=G112,IF(F112+G112=0,0,1),IF(F112=1,10,100))</f>
        <v>0</v>
      </c>
      <c r="I112" s="3"/>
      <c r="J112" s="549"/>
      <c r="K112" s="549"/>
    </row>
    <row r="113" spans="1:32" ht="15" thickBot="1" x14ac:dyDescent="0.25">
      <c r="A113" s="419" t="s">
        <v>567</v>
      </c>
      <c r="B113" s="420" t="str">
        <f>IF(SUM(A108:B112)=0,"OK","NG")</f>
        <v>NG</v>
      </c>
      <c r="C113" s="419" t="s">
        <v>567</v>
      </c>
      <c r="D113" s="424" t="str">
        <f>IF(E113=0,D114,IF(E113=1,D115,IF(E113=2,D116,IF(E113=3,D117,IF(E113=4,D118,"")))))</f>
        <v>y方向の距離が未入力です!</v>
      </c>
      <c r="E113" s="425">
        <f>IF(SUM(E108:E112)&lt;3,0,IF(SUM(E108:E112)&lt;6,1,IF(SUM(E108:E112)&lt;100,2,IF(MOD(SUM(E108:E112),100)=0,3,4))))</f>
        <v>3</v>
      </c>
      <c r="F113" s="419" t="s">
        <v>567</v>
      </c>
      <c r="G113" s="424" t="str">
        <f>IF(H113=0,"OK","NG")</f>
        <v>OK</v>
      </c>
      <c r="H113" s="425">
        <f>IF(SUM(H108:H112)&lt;3,0,IF(SUM(H108:H112)&lt;6,1,IF(SUM(H108:H112)&lt;100,2,IF(MOD(SUM(H108:H112),100)=0,3,4))))</f>
        <v>0</v>
      </c>
      <c r="I113" s="3"/>
      <c r="J113" s="549"/>
      <c r="K113" s="549"/>
    </row>
    <row r="114" spans="1:32" ht="14.25" x14ac:dyDescent="0.2">
      <c r="A114" s="3">
        <v>0</v>
      </c>
      <c r="B114" s="3" t="s">
        <v>583</v>
      </c>
      <c r="C114" s="3">
        <v>0</v>
      </c>
      <c r="D114" s="3" t="s">
        <v>572</v>
      </c>
      <c r="E114" s="3"/>
      <c r="F114" s="3">
        <v>0</v>
      </c>
      <c r="G114" s="3" t="s">
        <v>572</v>
      </c>
      <c r="H114" s="3"/>
      <c r="I114" s="3"/>
      <c r="J114" s="549"/>
      <c r="K114" s="549"/>
    </row>
    <row r="115" spans="1:32" ht="14.25" x14ac:dyDescent="0.2">
      <c r="A115" s="3">
        <v>1</v>
      </c>
      <c r="B115" s="351" t="s">
        <v>584</v>
      </c>
      <c r="C115" s="3">
        <v>1</v>
      </c>
      <c r="D115" s="3" t="s">
        <v>576</v>
      </c>
      <c r="E115" s="3"/>
      <c r="F115" s="3">
        <v>1</v>
      </c>
      <c r="G115" s="3" t="s">
        <v>579</v>
      </c>
      <c r="H115" s="3"/>
      <c r="I115" s="3"/>
      <c r="J115" s="549"/>
      <c r="K115" s="549"/>
    </row>
    <row r="116" spans="1:32" ht="14.25" x14ac:dyDescent="0.2">
      <c r="A116" s="3"/>
      <c r="B116" s="3"/>
      <c r="C116" s="3">
        <v>2</v>
      </c>
      <c r="D116" s="3" t="s">
        <v>573</v>
      </c>
      <c r="E116" s="3"/>
      <c r="F116" s="3">
        <v>2</v>
      </c>
      <c r="G116" s="3" t="s">
        <v>580</v>
      </c>
      <c r="H116" s="3"/>
      <c r="I116" s="3"/>
      <c r="J116" s="549"/>
      <c r="K116" s="549"/>
    </row>
    <row r="117" spans="1:32" ht="14.25" x14ac:dyDescent="0.2">
      <c r="A117" s="3"/>
      <c r="B117" s="3"/>
      <c r="C117" s="3">
        <v>3</v>
      </c>
      <c r="D117" s="3" t="s">
        <v>578</v>
      </c>
      <c r="E117" s="3"/>
      <c r="F117" s="3">
        <v>3</v>
      </c>
      <c r="G117" s="3" t="s">
        <v>581</v>
      </c>
      <c r="H117" s="3"/>
      <c r="I117" s="3"/>
      <c r="J117" s="549"/>
      <c r="K117" s="549"/>
    </row>
    <row r="118" spans="1:32" ht="14.25" x14ac:dyDescent="0.2">
      <c r="A118" s="3"/>
      <c r="B118" s="3"/>
      <c r="C118" s="3">
        <v>4</v>
      </c>
      <c r="D118" s="3" t="s">
        <v>574</v>
      </c>
      <c r="E118" s="3"/>
      <c r="F118" s="3">
        <v>4</v>
      </c>
      <c r="G118" s="3" t="s">
        <v>582</v>
      </c>
      <c r="H118" s="3"/>
      <c r="I118" s="3"/>
      <c r="J118" s="549"/>
      <c r="K118" s="549"/>
    </row>
    <row r="119" spans="1:32" ht="12" thickBot="1" x14ac:dyDescent="0.25">
      <c r="G119" s="186"/>
      <c r="H119" s="186"/>
      <c r="I119" s="186"/>
    </row>
    <row r="120" spans="1:32" ht="13.5" thickBot="1" x14ac:dyDescent="0.25">
      <c r="A120" s="1200" t="s">
        <v>413</v>
      </c>
      <c r="B120" s="1201"/>
      <c r="C120" s="1201"/>
      <c r="D120" s="1201"/>
      <c r="E120" s="1201"/>
      <c r="F120" s="1201"/>
      <c r="G120" s="1201"/>
      <c r="H120" s="1201"/>
      <c r="I120" s="1201"/>
      <c r="J120" s="1201"/>
      <c r="K120" s="1201"/>
      <c r="L120" s="1201"/>
      <c r="M120" s="1201"/>
      <c r="N120" s="1201"/>
      <c r="O120" s="1201"/>
      <c r="P120" s="1201"/>
      <c r="Q120" s="1201"/>
      <c r="R120" s="1201"/>
      <c r="S120" s="1201"/>
      <c r="T120" s="1201"/>
      <c r="U120" s="1201"/>
      <c r="V120" s="1201"/>
      <c r="W120" s="1201"/>
      <c r="X120" s="1201"/>
      <c r="Y120" s="1201"/>
      <c r="Z120" s="1201"/>
      <c r="AA120" s="1201"/>
      <c r="AB120" s="1202"/>
      <c r="AC120" s="217"/>
    </row>
    <row r="121" spans="1:32" ht="12.75" customHeight="1" x14ac:dyDescent="0.2">
      <c r="A121" s="1312" t="s">
        <v>37</v>
      </c>
      <c r="B121" s="1142"/>
      <c r="C121" s="1142" t="s">
        <v>472</v>
      </c>
      <c r="D121" s="1142"/>
      <c r="E121" s="1142" t="s">
        <v>471</v>
      </c>
      <c r="F121" s="1142"/>
      <c r="G121" s="1305" t="s">
        <v>362</v>
      </c>
      <c r="H121" s="1305"/>
      <c r="I121" s="1305" t="s">
        <v>363</v>
      </c>
      <c r="J121" s="1305"/>
      <c r="K121" s="1305" t="s">
        <v>364</v>
      </c>
      <c r="L121" s="1305"/>
      <c r="M121" s="1305" t="s">
        <v>365</v>
      </c>
      <c r="N121" s="1305"/>
      <c r="O121" s="529"/>
      <c r="P121" s="529"/>
      <c r="Q121" s="529"/>
      <c r="R121" s="529"/>
      <c r="S121" s="530"/>
      <c r="T121" s="529"/>
      <c r="U121" s="531"/>
      <c r="V121" s="550"/>
      <c r="W121" s="551"/>
      <c r="X121" s="551"/>
      <c r="Y121" s="551"/>
      <c r="Z121" s="551"/>
      <c r="AA121" s="551"/>
      <c r="AB121" s="551"/>
      <c r="AC121" s="551"/>
      <c r="AD121" s="551"/>
      <c r="AE121" s="186"/>
      <c r="AF121" s="186"/>
    </row>
    <row r="122" spans="1:32" ht="13.5" customHeight="1" x14ac:dyDescent="0.2">
      <c r="A122" s="1282" t="s">
        <v>181</v>
      </c>
      <c r="B122" s="1147"/>
      <c r="C122" s="1147" t="s">
        <v>181</v>
      </c>
      <c r="D122" s="1147"/>
      <c r="E122" s="1147" t="s">
        <v>181</v>
      </c>
      <c r="F122" s="1147"/>
      <c r="G122" s="1277" t="s">
        <v>181</v>
      </c>
      <c r="H122" s="1277"/>
      <c r="I122" s="1277" t="s">
        <v>181</v>
      </c>
      <c r="J122" s="1277"/>
      <c r="K122" s="1277" t="s">
        <v>181</v>
      </c>
      <c r="L122" s="1277"/>
      <c r="M122" s="1277" t="s">
        <v>181</v>
      </c>
      <c r="N122" s="1277"/>
      <c r="O122" s="617"/>
      <c r="P122" s="1278"/>
      <c r="Q122" s="1278"/>
      <c r="R122" s="1278"/>
      <c r="S122" s="617"/>
      <c r="T122" s="1278"/>
      <c r="U122" s="1278"/>
      <c r="V122" s="454"/>
      <c r="W122" s="454"/>
      <c r="X122" s="454"/>
      <c r="Y122" s="454"/>
      <c r="Z122" s="454"/>
      <c r="AA122" s="454"/>
      <c r="AB122" s="454"/>
      <c r="AC122" s="454"/>
      <c r="AD122" s="454"/>
      <c r="AE122" s="186"/>
      <c r="AF122" s="186"/>
    </row>
    <row r="123" spans="1:32" ht="12.75" customHeight="1" x14ac:dyDescent="0.2">
      <c r="A123" s="623" t="s">
        <v>366</v>
      </c>
      <c r="B123" s="607">
        <f>IF(A99&lt;&gt;"",IF(A99&gt;=0,A99/1000,"NG"),"NG")</f>
        <v>0.5</v>
      </c>
      <c r="C123" s="1279">
        <f>B123/$D$97</f>
        <v>8.5292298862903113E-2</v>
      </c>
      <c r="D123" s="1279"/>
      <c r="E123" s="1279">
        <f>B123/$E$97</f>
        <v>9.5740368022593628E-2</v>
      </c>
      <c r="F123" s="1279"/>
      <c r="G123" s="1276">
        <f>B123/$F$97</f>
        <v>0.1353973269241433</v>
      </c>
      <c r="H123" s="1276"/>
      <c r="I123" s="1276">
        <f>B123/$G$97</f>
        <v>0.19071937821467941</v>
      </c>
      <c r="J123" s="1276"/>
      <c r="K123" s="1276">
        <f>B123/$H$97</f>
        <v>0.26971793127856336</v>
      </c>
      <c r="L123" s="1276"/>
      <c r="M123" s="1276">
        <f>B123/$I$97</f>
        <v>0.38143875642935882</v>
      </c>
      <c r="N123" s="1276"/>
      <c r="O123" s="187"/>
      <c r="P123" s="187"/>
      <c r="Q123" s="187"/>
      <c r="R123" s="187"/>
      <c r="S123" s="187"/>
      <c r="T123" s="187"/>
      <c r="U123" s="532"/>
      <c r="V123" s="533"/>
      <c r="W123" s="552"/>
      <c r="X123" s="552"/>
      <c r="Y123" s="553"/>
      <c r="Z123" s="554"/>
      <c r="AA123" s="553"/>
      <c r="AB123" s="554"/>
      <c r="AC123" s="553"/>
      <c r="AD123" s="554"/>
      <c r="AE123" s="1283"/>
      <c r="AF123" s="1284"/>
    </row>
    <row r="124" spans="1:32" ht="12.75" x14ac:dyDescent="0.2">
      <c r="A124" s="623" t="s">
        <v>367</v>
      </c>
      <c r="B124" s="607">
        <f>IF(A100&lt;&gt;"",IF(A100&gt;=0,A100/1000,"NG"),"NG")</f>
        <v>1.5</v>
      </c>
      <c r="C124" s="1279">
        <f t="shared" ref="C124:C127" si="4">B124/$D$97</f>
        <v>0.25587689658870938</v>
      </c>
      <c r="D124" s="1279"/>
      <c r="E124" s="1279">
        <f t="shared" ref="E124:E127" si="5">B124/$E$97</f>
        <v>0.2872211040677809</v>
      </c>
      <c r="F124" s="1279"/>
      <c r="G124" s="1276">
        <f>B124/$F$97</f>
        <v>0.40619198077242991</v>
      </c>
      <c r="H124" s="1276"/>
      <c r="I124" s="1276">
        <f>B124/$G$97</f>
        <v>0.5721581346440382</v>
      </c>
      <c r="J124" s="1276"/>
      <c r="K124" s="1276">
        <f>B124/$H$97</f>
        <v>0.80915379383569019</v>
      </c>
      <c r="L124" s="1276"/>
      <c r="M124" s="1276">
        <f>B124/$I$97</f>
        <v>1.1443162692880764</v>
      </c>
      <c r="N124" s="1276"/>
      <c r="O124" s="187"/>
      <c r="P124" s="187"/>
      <c r="Q124" s="187"/>
      <c r="R124" s="187"/>
      <c r="S124" s="187"/>
      <c r="T124" s="187"/>
      <c r="U124" s="532"/>
      <c r="V124" s="187"/>
      <c r="W124" s="555"/>
      <c r="X124" s="554"/>
      <c r="Y124" s="555"/>
      <c r="Z124" s="554"/>
      <c r="AA124" s="555"/>
      <c r="AB124" s="554"/>
      <c r="AC124" s="555"/>
      <c r="AD124" s="554"/>
      <c r="AE124" s="1285"/>
      <c r="AF124" s="1284"/>
    </row>
    <row r="125" spans="1:32" ht="12.75" x14ac:dyDescent="0.2">
      <c r="A125" s="623" t="s">
        <v>368</v>
      </c>
      <c r="B125" s="607">
        <f>IF(A101&lt;&gt;"",IF(A101&gt;=0,A101/1000,"NG"),"NG")</f>
        <v>1</v>
      </c>
      <c r="C125" s="1279">
        <f t="shared" si="4"/>
        <v>0.17058459772580623</v>
      </c>
      <c r="D125" s="1279"/>
      <c r="E125" s="1279">
        <f t="shared" si="5"/>
        <v>0.19148073604518726</v>
      </c>
      <c r="F125" s="1279"/>
      <c r="G125" s="1276">
        <f>B125/$F$97</f>
        <v>0.2707946538482866</v>
      </c>
      <c r="H125" s="1276"/>
      <c r="I125" s="1276">
        <f>B125/$G$97</f>
        <v>0.38143875642935882</v>
      </c>
      <c r="J125" s="1276"/>
      <c r="K125" s="1276">
        <f>B125/$H$97</f>
        <v>0.53943586255712672</v>
      </c>
      <c r="L125" s="1276"/>
      <c r="M125" s="1276">
        <f>B125/$I$97</f>
        <v>0.76287751285871763</v>
      </c>
      <c r="N125" s="1276"/>
      <c r="O125" s="187"/>
      <c r="P125" s="187"/>
      <c r="U125" s="532"/>
      <c r="V125" s="187"/>
      <c r="W125" s="555"/>
      <c r="X125" s="554"/>
      <c r="Y125" s="555"/>
      <c r="Z125" s="554"/>
      <c r="AA125" s="555"/>
      <c r="AB125" s="554"/>
      <c r="AC125" s="555"/>
      <c r="AD125" s="554"/>
      <c r="AE125" s="1285"/>
      <c r="AF125" s="1284"/>
    </row>
    <row r="126" spans="1:32" ht="12.75" x14ac:dyDescent="0.2">
      <c r="A126" s="623" t="s">
        <v>369</v>
      </c>
      <c r="B126" s="607">
        <f>IF(A102&lt;&gt;"",IF(A102&gt;=0,A102/1000,"NG"),"NG")</f>
        <v>0.5</v>
      </c>
      <c r="C126" s="1279">
        <f t="shared" si="4"/>
        <v>8.5292298862903113E-2</v>
      </c>
      <c r="D126" s="1279"/>
      <c r="E126" s="1279">
        <f t="shared" si="5"/>
        <v>9.5740368022593628E-2</v>
      </c>
      <c r="F126" s="1279"/>
      <c r="G126" s="1276">
        <f>B126/$F$97</f>
        <v>0.1353973269241433</v>
      </c>
      <c r="H126" s="1276"/>
      <c r="I126" s="1276">
        <f>B126/$G$97</f>
        <v>0.19071937821467941</v>
      </c>
      <c r="J126" s="1276"/>
      <c r="K126" s="1276">
        <f>B126/$H$97</f>
        <v>0.26971793127856336</v>
      </c>
      <c r="L126" s="1276"/>
      <c r="M126" s="1276">
        <f>B126/$I$97</f>
        <v>0.38143875642935882</v>
      </c>
      <c r="N126" s="1276"/>
      <c r="O126" s="187"/>
      <c r="P126" s="187"/>
      <c r="Q126" s="187"/>
      <c r="R126" s="187"/>
      <c r="S126" s="187"/>
      <c r="T126" s="187"/>
      <c r="U126" s="532"/>
      <c r="V126" s="187"/>
      <c r="W126" s="555"/>
      <c r="X126" s="554"/>
      <c r="Y126" s="555"/>
      <c r="Z126" s="554"/>
      <c r="AA126" s="555"/>
      <c r="AB126" s="554"/>
      <c r="AC126" s="555"/>
      <c r="AD126" s="554"/>
      <c r="AE126" s="1285"/>
      <c r="AF126" s="1284"/>
    </row>
    <row r="127" spans="1:32" ht="12.75" x14ac:dyDescent="0.2">
      <c r="A127" s="623" t="s">
        <v>370</v>
      </c>
      <c r="B127" s="607">
        <f>IF(A103&lt;&gt;"",IF(A103&gt;=0,A103/1000,"NG"),"NG")</f>
        <v>1.5</v>
      </c>
      <c r="C127" s="1279">
        <f t="shared" si="4"/>
        <v>0.25587689658870938</v>
      </c>
      <c r="D127" s="1279"/>
      <c r="E127" s="1279">
        <f t="shared" si="5"/>
        <v>0.2872211040677809</v>
      </c>
      <c r="F127" s="1279"/>
      <c r="G127" s="1276">
        <f>B127/$F$97</f>
        <v>0.40619198077242991</v>
      </c>
      <c r="H127" s="1276"/>
      <c r="I127" s="1276">
        <f>B127/$G$97</f>
        <v>0.5721581346440382</v>
      </c>
      <c r="J127" s="1276"/>
      <c r="K127" s="1276">
        <f>B127/$H$97</f>
        <v>0.80915379383569019</v>
      </c>
      <c r="L127" s="1276"/>
      <c r="M127" s="1276">
        <f>B127/$I$97</f>
        <v>1.1443162692880764</v>
      </c>
      <c r="N127" s="1276"/>
      <c r="O127" s="187"/>
      <c r="P127" s="187"/>
      <c r="Q127" s="187"/>
      <c r="R127" s="187"/>
      <c r="S127" s="187"/>
      <c r="T127" s="187"/>
      <c r="U127" s="532"/>
      <c r="V127" s="187"/>
      <c r="W127" s="555"/>
      <c r="X127" s="554"/>
      <c r="Y127" s="555"/>
      <c r="Z127" s="554"/>
      <c r="AA127" s="555"/>
      <c r="AB127" s="554"/>
      <c r="AC127" s="555"/>
      <c r="AD127" s="554"/>
      <c r="AE127" s="1285"/>
      <c r="AF127" s="1284"/>
    </row>
    <row r="128" spans="1:32" ht="12.75" x14ac:dyDescent="0.2">
      <c r="A128" s="1282" t="s">
        <v>182</v>
      </c>
      <c r="B128" s="1147"/>
      <c r="C128" s="1147" t="s">
        <v>182</v>
      </c>
      <c r="D128" s="1147"/>
      <c r="E128" s="1147" t="s">
        <v>182</v>
      </c>
      <c r="F128" s="1147"/>
      <c r="G128" s="1277" t="s">
        <v>182</v>
      </c>
      <c r="H128" s="1277"/>
      <c r="I128" s="1277" t="s">
        <v>182</v>
      </c>
      <c r="J128" s="1277"/>
      <c r="K128" s="1277" t="s">
        <v>182</v>
      </c>
      <c r="L128" s="1277"/>
      <c r="M128" s="1277" t="s">
        <v>182</v>
      </c>
      <c r="N128" s="1277"/>
      <c r="O128" s="617"/>
      <c r="P128" s="187"/>
      <c r="Q128" s="187"/>
      <c r="R128" s="187"/>
      <c r="S128" s="617"/>
      <c r="T128" s="1278"/>
      <c r="U128" s="1278"/>
      <c r="V128" s="187"/>
      <c r="W128" s="555"/>
      <c r="X128" s="554"/>
      <c r="Y128" s="555"/>
      <c r="Z128" s="554"/>
      <c r="AA128" s="555"/>
      <c r="AB128" s="554"/>
      <c r="AC128" s="555"/>
      <c r="AD128" s="554"/>
      <c r="AE128" s="1285"/>
      <c r="AF128" s="1284"/>
    </row>
    <row r="129" spans="1:32" x14ac:dyDescent="0.2">
      <c r="A129" s="623" t="s">
        <v>366</v>
      </c>
      <c r="B129" s="607" t="str">
        <f>IF(B99&lt;&gt;"",IF(B99&gt;=0,B99/1000,"NG"),"NG")</f>
        <v>NG</v>
      </c>
      <c r="C129" s="1279" t="e">
        <f t="shared" ref="C129:C133" si="6">B129/$D$97</f>
        <v>#VALUE!</v>
      </c>
      <c r="D129" s="1279"/>
      <c r="E129" s="1279" t="e">
        <f t="shared" ref="E129:E133" si="7">B129/$E$97</f>
        <v>#VALUE!</v>
      </c>
      <c r="F129" s="1279"/>
      <c r="G129" s="1276" t="e">
        <f>B129/$F$97</f>
        <v>#VALUE!</v>
      </c>
      <c r="H129" s="1276"/>
      <c r="I129" s="1276" t="e">
        <f>B129/$G$97</f>
        <v>#VALUE!</v>
      </c>
      <c r="J129" s="1276"/>
      <c r="K129" s="1276" t="e">
        <f>B129/$H$97</f>
        <v>#VALUE!</v>
      </c>
      <c r="L129" s="1276"/>
      <c r="M129" s="1276" t="e">
        <f>B129/$I$97</f>
        <v>#VALUE!</v>
      </c>
      <c r="N129" s="1276"/>
      <c r="O129" s="187"/>
      <c r="P129" s="187"/>
      <c r="Q129" s="187"/>
      <c r="R129" s="187"/>
      <c r="S129" s="187"/>
      <c r="T129" s="187"/>
      <c r="U129" s="532"/>
      <c r="V129" s="547"/>
      <c r="W129" s="547"/>
      <c r="X129" s="547"/>
      <c r="Y129" s="547"/>
      <c r="Z129" s="547"/>
      <c r="AA129" s="547"/>
      <c r="AB129" s="547"/>
      <c r="AC129" s="547"/>
      <c r="AD129" s="547"/>
      <c r="AE129" s="186"/>
      <c r="AF129" s="186"/>
    </row>
    <row r="130" spans="1:32" x14ac:dyDescent="0.2">
      <c r="A130" s="623" t="s">
        <v>367</v>
      </c>
      <c r="B130" s="607" t="str">
        <f>IF(B100&lt;&gt;"",IF(B100&gt;=0,B100/1000,"NG"),"NG")</f>
        <v>NG</v>
      </c>
      <c r="C130" s="1279" t="e">
        <f t="shared" si="6"/>
        <v>#VALUE!</v>
      </c>
      <c r="D130" s="1279"/>
      <c r="E130" s="1279" t="e">
        <f t="shared" si="7"/>
        <v>#VALUE!</v>
      </c>
      <c r="F130" s="1279"/>
      <c r="G130" s="1276" t="e">
        <f>B130/$F$97</f>
        <v>#VALUE!</v>
      </c>
      <c r="H130" s="1276"/>
      <c r="I130" s="1276" t="e">
        <f>B130/$G$97</f>
        <v>#VALUE!</v>
      </c>
      <c r="J130" s="1276"/>
      <c r="K130" s="1276" t="e">
        <f>B130/$H$97</f>
        <v>#VALUE!</v>
      </c>
      <c r="L130" s="1276"/>
      <c r="M130" s="1276" t="e">
        <f>B130/$I$97</f>
        <v>#VALUE!</v>
      </c>
      <c r="N130" s="1276"/>
      <c r="O130" s="187"/>
      <c r="P130" s="187"/>
      <c r="Q130" s="187"/>
      <c r="R130" s="187"/>
      <c r="S130" s="187"/>
      <c r="T130" s="187"/>
      <c r="U130" s="532"/>
      <c r="V130" s="186"/>
      <c r="W130" s="187"/>
      <c r="X130" s="187"/>
      <c r="Y130" s="186"/>
      <c r="Z130" s="186"/>
      <c r="AA130" s="186"/>
      <c r="AB130" s="186"/>
      <c r="AC130" s="186"/>
      <c r="AD130" s="186"/>
      <c r="AE130" s="186"/>
      <c r="AF130" s="186"/>
    </row>
    <row r="131" spans="1:32" x14ac:dyDescent="0.2">
      <c r="A131" s="623" t="s">
        <v>368</v>
      </c>
      <c r="B131" s="607">
        <f>IF(B101&lt;&gt;"",IF(B101&gt;=0,B101/1000,"NG"),"NG")</f>
        <v>2</v>
      </c>
      <c r="C131" s="1279">
        <f t="shared" si="6"/>
        <v>0.34116919545161245</v>
      </c>
      <c r="D131" s="1279"/>
      <c r="E131" s="1279">
        <f t="shared" si="7"/>
        <v>0.38296147209037451</v>
      </c>
      <c r="F131" s="1279"/>
      <c r="G131" s="1276">
        <f>B131/$F$97</f>
        <v>0.54158930769657321</v>
      </c>
      <c r="H131" s="1276"/>
      <c r="I131" s="1276">
        <f>B131/$G$97</f>
        <v>0.76287751285871763</v>
      </c>
      <c r="J131" s="1276"/>
      <c r="K131" s="1276">
        <f>B131/$H$97</f>
        <v>1.0788717251142534</v>
      </c>
      <c r="L131" s="1276"/>
      <c r="M131" s="1276">
        <f>B131/$I$97</f>
        <v>1.5257550257174353</v>
      </c>
      <c r="N131" s="1276"/>
      <c r="O131" s="187"/>
      <c r="P131" s="187"/>
      <c r="Q131" s="187"/>
      <c r="R131" s="187"/>
      <c r="S131" s="187"/>
      <c r="T131" s="187"/>
      <c r="U131" s="532"/>
      <c r="V131" s="186"/>
      <c r="W131" s="186"/>
      <c r="X131" s="187"/>
      <c r="Y131" s="186"/>
      <c r="Z131" s="186"/>
      <c r="AA131" s="186"/>
      <c r="AB131" s="186"/>
      <c r="AC131" s="186"/>
      <c r="AD131" s="186"/>
      <c r="AE131" s="186"/>
      <c r="AF131" s="186"/>
    </row>
    <row r="132" spans="1:32" x14ac:dyDescent="0.2">
      <c r="A132" s="623" t="s">
        <v>369</v>
      </c>
      <c r="B132" s="607">
        <f>IF(B102&lt;&gt;"",IF(B102&gt;=0,B102/1000,"NG"),"NG")</f>
        <v>4</v>
      </c>
      <c r="C132" s="1279">
        <f t="shared" si="6"/>
        <v>0.6823383909032249</v>
      </c>
      <c r="D132" s="1279"/>
      <c r="E132" s="1279">
        <f t="shared" si="7"/>
        <v>0.76592294418074902</v>
      </c>
      <c r="F132" s="1279"/>
      <c r="G132" s="1276">
        <f>B132/$F$97</f>
        <v>1.0831786153931464</v>
      </c>
      <c r="H132" s="1276"/>
      <c r="I132" s="1276">
        <f>B132/$G$97</f>
        <v>1.5257550257174353</v>
      </c>
      <c r="J132" s="1276"/>
      <c r="K132" s="1276">
        <f>B132/$H$97</f>
        <v>2.1577434502285069</v>
      </c>
      <c r="L132" s="1276"/>
      <c r="M132" s="1276">
        <f>B132/$I$97</f>
        <v>3.0515100514348705</v>
      </c>
      <c r="N132" s="1276"/>
      <c r="O132" s="187"/>
      <c r="P132" s="187"/>
      <c r="Q132" s="187"/>
      <c r="R132" s="187"/>
      <c r="S132" s="187"/>
      <c r="T132" s="187"/>
      <c r="U132" s="532"/>
      <c r="V132" s="186"/>
      <c r="W132" s="187"/>
      <c r="X132" s="187"/>
      <c r="Y132" s="186"/>
      <c r="Z132" s="186"/>
      <c r="AA132" s="186"/>
      <c r="AB132" s="186"/>
      <c r="AC132" s="186"/>
      <c r="AD132" s="186"/>
      <c r="AE132" s="186"/>
      <c r="AF132" s="186"/>
    </row>
    <row r="133" spans="1:32" ht="12" thickBot="1" x14ac:dyDescent="0.25">
      <c r="A133" s="37" t="s">
        <v>371</v>
      </c>
      <c r="B133" s="607">
        <f>IF(B103&lt;&gt;"",IF(B103&gt;=0,B103/1000,"NG"),"NG")</f>
        <v>4</v>
      </c>
      <c r="C133" s="1280">
        <f t="shared" si="6"/>
        <v>0.6823383909032249</v>
      </c>
      <c r="D133" s="1280"/>
      <c r="E133" s="1280">
        <f t="shared" si="7"/>
        <v>0.76592294418074902</v>
      </c>
      <c r="F133" s="1280"/>
      <c r="G133" s="1281">
        <f>B133/$F$97</f>
        <v>1.0831786153931464</v>
      </c>
      <c r="H133" s="1281"/>
      <c r="I133" s="1281">
        <f>B133/$G$97</f>
        <v>1.5257550257174353</v>
      </c>
      <c r="J133" s="1281"/>
      <c r="K133" s="1281">
        <f>B133/$H$97</f>
        <v>2.1577434502285069</v>
      </c>
      <c r="L133" s="1281"/>
      <c r="M133" s="1281">
        <f>B133/$I$97</f>
        <v>3.0515100514348705</v>
      </c>
      <c r="N133" s="1281"/>
      <c r="O133" s="187"/>
      <c r="P133" s="187"/>
      <c r="Q133" s="187"/>
      <c r="R133" s="187"/>
      <c r="S133" s="534"/>
      <c r="T133" s="534"/>
      <c r="U133" s="535"/>
      <c r="V133" s="186"/>
      <c r="W133" s="186"/>
      <c r="X133" s="186"/>
      <c r="Y133" s="186"/>
      <c r="Z133" s="186"/>
      <c r="AA133" s="186"/>
      <c r="AB133" s="186"/>
      <c r="AC133" s="186"/>
      <c r="AD133" s="186"/>
      <c r="AE133" s="186"/>
      <c r="AF133" s="186"/>
    </row>
    <row r="134" spans="1:32" x14ac:dyDescent="0.2">
      <c r="A134" s="543"/>
      <c r="B134" s="544"/>
      <c r="C134" s="544"/>
      <c r="D134" s="544"/>
      <c r="E134" s="544"/>
      <c r="F134" s="544"/>
      <c r="G134" s="544"/>
      <c r="H134" s="544"/>
      <c r="I134" s="544"/>
      <c r="J134" s="544"/>
      <c r="K134" s="544"/>
      <c r="L134" s="544"/>
      <c r="M134" s="544"/>
      <c r="N134" s="544"/>
      <c r="O134" s="544"/>
      <c r="P134" s="544"/>
      <c r="Q134" s="544"/>
      <c r="R134" s="544"/>
      <c r="S134" s="544"/>
      <c r="T134" s="544"/>
      <c r="U134" s="544"/>
      <c r="V134" s="544"/>
      <c r="W134" s="544"/>
      <c r="X134" s="186"/>
      <c r="Y134" s="186"/>
      <c r="Z134" s="186"/>
      <c r="AA134" s="186"/>
      <c r="AB134" s="186"/>
      <c r="AC134" s="186"/>
      <c r="AD134" s="186"/>
      <c r="AE134" s="186"/>
      <c r="AF134" s="186"/>
    </row>
    <row r="135" spans="1:32" x14ac:dyDescent="0.2">
      <c r="A135" s="545"/>
      <c r="B135" s="545"/>
      <c r="C135" s="545"/>
      <c r="D135" s="545"/>
      <c r="E135" s="545"/>
      <c r="F135" s="545"/>
      <c r="G135" s="545"/>
      <c r="H135" s="545"/>
      <c r="I135" s="545"/>
      <c r="J135" s="545"/>
      <c r="K135" s="545"/>
      <c r="L135" s="545"/>
      <c r="M135" s="545"/>
      <c r="N135" s="545"/>
      <c r="O135" s="545"/>
      <c r="P135" s="545"/>
      <c r="Q135" s="545"/>
      <c r="R135" s="545"/>
      <c r="S135" s="545"/>
      <c r="T135" s="545"/>
      <c r="U135" s="545"/>
      <c r="V135" s="545"/>
      <c r="W135" s="545"/>
      <c r="X135" s="186"/>
      <c r="Y135" s="186"/>
      <c r="Z135" s="186"/>
      <c r="AA135" s="186"/>
      <c r="AB135" s="186"/>
      <c r="AC135" s="186"/>
      <c r="AD135" s="186"/>
      <c r="AE135" s="186"/>
      <c r="AF135" s="186"/>
    </row>
    <row r="136" spans="1:32" ht="14.25" x14ac:dyDescent="0.2">
      <c r="A136" t="s">
        <v>494</v>
      </c>
      <c r="B136" s="336" t="s">
        <v>495</v>
      </c>
      <c r="C136" s="336"/>
      <c r="D136" s="336">
        <f>'Result_重量床衝撃音 (31.5Hz)'!D10</f>
        <v>146.6322265336799</v>
      </c>
      <c r="E136" s="545"/>
      <c r="F136" s="545"/>
      <c r="G136" s="677" t="s">
        <v>633</v>
      </c>
      <c r="H136" s="678"/>
      <c r="I136" s="681"/>
      <c r="J136" s="679"/>
      <c r="K136" s="682"/>
      <c r="L136" s="679"/>
      <c r="M136" s="748">
        <v>2</v>
      </c>
      <c r="N136" s="545"/>
      <c r="O136" s="545"/>
      <c r="Q136" s="545"/>
      <c r="R136" s="545"/>
      <c r="S136" s="545"/>
      <c r="T136" s="545"/>
      <c r="U136" s="545"/>
      <c r="V136" s="545"/>
      <c r="W136" s="545"/>
      <c r="X136" s="186"/>
      <c r="Y136" s="186"/>
      <c r="Z136" s="186"/>
      <c r="AA136" s="186"/>
      <c r="AB136" s="186"/>
      <c r="AC136" s="186"/>
      <c r="AD136" s="186"/>
      <c r="AE136" s="186"/>
      <c r="AF136" s="186"/>
    </row>
    <row r="137" spans="1:32" ht="12" thickBot="1" x14ac:dyDescent="0.25">
      <c r="A137" s="545"/>
      <c r="B137" s="545"/>
      <c r="C137" s="545"/>
      <c r="D137" s="545"/>
      <c r="E137" s="545"/>
      <c r="F137" s="545"/>
      <c r="G137" s="545"/>
      <c r="H137" s="545"/>
      <c r="I137" s="545"/>
      <c r="J137" s="545"/>
      <c r="K137" s="545"/>
      <c r="L137" s="545"/>
      <c r="M137" s="545"/>
      <c r="N137" s="545"/>
      <c r="O137" s="545"/>
      <c r="Q137" s="545"/>
      <c r="R137" s="545"/>
      <c r="S137" s="545"/>
      <c r="T137" s="545"/>
      <c r="U137" s="545"/>
      <c r="V137" s="545"/>
      <c r="W137" s="545"/>
      <c r="X137" s="186"/>
      <c r="Y137" s="186"/>
      <c r="Z137" s="186"/>
      <c r="AA137" s="186"/>
      <c r="AB137" s="186"/>
      <c r="AC137" s="186"/>
      <c r="AD137" s="186"/>
      <c r="AE137" s="186"/>
      <c r="AF137" s="186"/>
    </row>
    <row r="138" spans="1:32" ht="15" thickBot="1" x14ac:dyDescent="0.25">
      <c r="A138" s="1315" t="s">
        <v>593</v>
      </c>
      <c r="B138" s="1316"/>
      <c r="C138" s="1316"/>
      <c r="D138" s="1316"/>
      <c r="E138" s="1316"/>
      <c r="F138" s="1316"/>
      <c r="G138" s="1316"/>
      <c r="H138" s="1316"/>
      <c r="I138" s="1316"/>
      <c r="J138" s="1316"/>
      <c r="K138" s="1317"/>
      <c r="L138" s="3"/>
      <c r="M138" s="493" t="s">
        <v>549</v>
      </c>
      <c r="N138" s="494"/>
      <c r="O138" s="545"/>
      <c r="P138" s="545"/>
      <c r="Q138" s="545"/>
      <c r="R138" s="545"/>
      <c r="S138" s="545"/>
      <c r="T138" s="545"/>
      <c r="U138" s="545"/>
      <c r="V138" s="545"/>
      <c r="W138" s="545"/>
      <c r="X138" s="186"/>
      <c r="Y138" s="186"/>
      <c r="Z138" s="186"/>
      <c r="AA138" s="186"/>
      <c r="AB138" s="186"/>
      <c r="AC138" s="186"/>
      <c r="AD138" s="186"/>
      <c r="AE138" s="186"/>
      <c r="AF138" s="186"/>
    </row>
    <row r="139" spans="1:32" ht="14.25" x14ac:dyDescent="0.2">
      <c r="A139" s="1132" t="s">
        <v>547</v>
      </c>
      <c r="B139" s="1133"/>
      <c r="C139" s="1133"/>
      <c r="D139" s="1133"/>
      <c r="E139" s="1133"/>
      <c r="F139" s="1134"/>
      <c r="G139" s="1132" t="s">
        <v>548</v>
      </c>
      <c r="H139" s="1133"/>
      <c r="I139" s="1133"/>
      <c r="J139" s="1133"/>
      <c r="K139" s="1134"/>
      <c r="L139" s="3"/>
      <c r="M139" s="495" t="s">
        <v>547</v>
      </c>
      <c r="N139" s="488" t="s">
        <v>548</v>
      </c>
      <c r="O139" s="545"/>
      <c r="P139" s="545"/>
      <c r="Q139" s="545"/>
      <c r="R139" s="545"/>
      <c r="S139" s="545"/>
      <c r="T139" s="545"/>
      <c r="U139" s="545"/>
      <c r="V139" s="545"/>
      <c r="W139" s="545"/>
      <c r="X139" s="186"/>
      <c r="Y139" s="186"/>
      <c r="Z139" s="186"/>
      <c r="AA139" s="186"/>
      <c r="AB139" s="186"/>
      <c r="AC139" s="186"/>
      <c r="AD139" s="186"/>
      <c r="AE139" s="186"/>
      <c r="AF139" s="186"/>
    </row>
    <row r="140" spans="1:32" ht="14.25" x14ac:dyDescent="0.2">
      <c r="A140" s="486"/>
      <c r="B140" s="353"/>
      <c r="C140" s="487" t="s">
        <v>517</v>
      </c>
      <c r="D140" s="353"/>
      <c r="E140" s="353" t="s">
        <v>518</v>
      </c>
      <c r="F140" s="488" t="s">
        <v>546</v>
      </c>
      <c r="G140" s="417"/>
      <c r="H140" s="487" t="s">
        <v>517</v>
      </c>
      <c r="I140" s="353"/>
      <c r="J140" s="353" t="s">
        <v>518</v>
      </c>
      <c r="K140" s="488" t="s">
        <v>546</v>
      </c>
      <c r="L140" s="3"/>
      <c r="M140" s="495" t="s">
        <v>546</v>
      </c>
      <c r="N140" s="488" t="s">
        <v>546</v>
      </c>
      <c r="O140" s="545"/>
      <c r="P140" s="545"/>
      <c r="Q140" s="545"/>
      <c r="R140" s="545"/>
      <c r="S140" s="545"/>
      <c r="T140" s="545"/>
      <c r="U140" s="545"/>
      <c r="V140" s="545"/>
      <c r="W140" s="545"/>
      <c r="X140" s="186"/>
      <c r="Y140" s="186"/>
      <c r="Z140" s="186"/>
      <c r="AA140" s="186"/>
      <c r="AB140" s="186"/>
      <c r="AC140" s="186"/>
      <c r="AD140" s="186"/>
      <c r="AE140" s="186"/>
      <c r="AF140" s="186"/>
    </row>
    <row r="141" spans="1:32" ht="14.25" x14ac:dyDescent="0.2">
      <c r="A141" s="486" t="s">
        <v>497</v>
      </c>
      <c r="B141" s="337">
        <f>((INPUT!E26*((INPUT!F26-Calculation!$D$136)^2)+Calculation!$D$136*1000*(2*INPUT!F26-Calculation!$D$136))/(2*(Calculation!$D$136*1000+INPUT!E26*(INPUT!F26-Calculation!$D$136))))</f>
        <v>-73.316113266839949</v>
      </c>
      <c r="C141" s="337">
        <f>(Calculation!$D$136/1000)^3/12</f>
        <v>2.6272841235283742E-4</v>
      </c>
      <c r="D141" s="337">
        <f>(INPUT!E26/1000)*(INPUT!F26/1000)^3/12</f>
        <v>0</v>
      </c>
      <c r="E141" s="337">
        <f>((1000*(INPUT!F26-B141)^3)/3+((INPUT!E26*B141^3)/3)-((1000-INPUT!E26)*(INPUT!F26-Calculation!$D$136-B141)^3)/3)/(1000^4)</f>
        <v>2.6272841235283731E-4</v>
      </c>
      <c r="F141" s="489">
        <f>IF(INPUT!D26=INPUT!$N$24,(E141/C141)^0.5,IF(INPUT!D26=INPUT!$N$25,(E141/C141)^0.5,IF(INPUT!D26=INPUT!$N$26,(E141/C141)^0.5,IF(INPUT!D26=INPUT!$N$27,(E141/C141)^0.5,"-"))))</f>
        <v>0.99999999999999978</v>
      </c>
      <c r="G141" s="492">
        <f>((INPUT!K26*((INPUT!L26-Calculation!$D$136)^2)+Calculation!$D$136*1000*(2*INPUT!L26-Calculation!$D$136))/(2*(Calculation!$D$136*1000+INPUT!K26*(INPUT!L26-Calculation!$D$136))))</f>
        <v>-73.316113266839949</v>
      </c>
      <c r="H141" s="337">
        <f>(Calculation!$D$136/1000)^3/12</f>
        <v>2.6272841235283742E-4</v>
      </c>
      <c r="I141" s="337">
        <f>(INPUT!K26/1000)*(INPUT!L26/1000)^3/12</f>
        <v>0</v>
      </c>
      <c r="J141" s="337">
        <f>((1000*(INPUT!L26-G141)^3)/3+((INPUT!K26*G141^3)/3)-((1000-INPUT!K26)*(INPUT!L26-Calculation!$D$136-G141)^3)/3)/(1000^4)</f>
        <v>2.6272841235283731E-4</v>
      </c>
      <c r="K141" s="490">
        <f>IF(INPUT!J26=INPUT!$N$24,(J141/H141)^0.5,IF(INPUT!J26=INPUT!$N$25,(J141/H141)^0.5,IF(INPUT!J26=INPUT!$N$26,(J141/H141)^0.5,IF(INPUT!J26=INPUT!$N$27,(J141/H141)^0.5,"-"))))</f>
        <v>0.99999999999999978</v>
      </c>
      <c r="L141" s="3"/>
      <c r="M141" s="496">
        <f>IF(INPUT!D26=1,IF(INPUT!F26*INPUT!E26=0,3.5,F141),IF(INPUT!D26=2,IF(INPUT!F26*INPUT!E26=0,2.5,F141),IF(INPUT!D26=3,IF(INPUT!F26*INPUT!E26=0,1,F141),IF(INPUT!D26=4,IF(INPUT!F26*INPUT!E26=0,1.5,F141),"-"))))</f>
        <v>3.5</v>
      </c>
      <c r="N141" s="489">
        <f>IF(INPUT!J26=1,IF(INPUT!L26*INPUT!K26=0,3.5,K141),IF(INPUT!J26=2,IF(INPUT!L26*INPUT!K26=0,2.5,K141),IF(INPUT!J26=3,IF(INPUT!L26*INPUT!K26=0,1,K141),IF(INPUT!J26=4,IF(INPUT!L26*INPUT!K26=0,1.5,K141),"-"))))</f>
        <v>3.5</v>
      </c>
      <c r="O141" s="545"/>
      <c r="P141" s="545"/>
      <c r="Q141" s="545"/>
      <c r="R141" s="545"/>
      <c r="S141" s="545"/>
      <c r="T141" s="545"/>
      <c r="U141" s="545"/>
      <c r="V141" s="545"/>
      <c r="W141" s="545"/>
      <c r="X141" s="186"/>
      <c r="Y141" s="186"/>
      <c r="Z141" s="186"/>
      <c r="AA141" s="186"/>
      <c r="AB141" s="186"/>
      <c r="AC141" s="186"/>
      <c r="AD141" s="186"/>
      <c r="AE141" s="186"/>
      <c r="AF141" s="186"/>
    </row>
    <row r="142" spans="1:32" ht="14.25" x14ac:dyDescent="0.2">
      <c r="A142" s="486" t="s">
        <v>498</v>
      </c>
      <c r="B142" s="337">
        <f>((INPUT!E27*((INPUT!F27-Calculation!$D$136)^2)+Calculation!$D$136*1000*(2*INPUT!F27-Calculation!$D$136))/(2*(Calculation!$D$136*1000+INPUT!E27*(INPUT!F27-Calculation!$D$136))))</f>
        <v>-73.316113266839949</v>
      </c>
      <c r="C142" s="337">
        <f>(Calculation!$D$136/1000)^3/12</f>
        <v>2.6272841235283742E-4</v>
      </c>
      <c r="D142" s="337">
        <f>(INPUT!E27/1000)*(INPUT!F27/1000)^3/12</f>
        <v>0</v>
      </c>
      <c r="E142" s="337">
        <f>((1000*(INPUT!F27-B142)^3)/3+((INPUT!E27*B142^3)/3)-((1000-INPUT!E27)*(INPUT!F27-Calculation!$D$136-B142)^3)/3)/(1000^4)</f>
        <v>2.6272841235283731E-4</v>
      </c>
      <c r="F142" s="490">
        <f>IF(INPUT!D27=INPUT!$N$24,(E142/C142)^0.5,IF(INPUT!D27=INPUT!$N$25,(E142/C142)^0.5,IF(INPUT!D27=INPUT!$N$26,(E142/C142)^0.5,IF(INPUT!D27=INPUT!$N$27,(E142/C142)^0.5,"-"))))</f>
        <v>0.99999999999999978</v>
      </c>
      <c r="G142" s="492">
        <f>((INPUT!K27*((INPUT!L27-Calculation!$D$136)^2)+Calculation!$D$136*1000*(2*INPUT!L27-Calculation!$D$136))/(2*(Calculation!$D$136*1000+INPUT!K27*(INPUT!L27-Calculation!$D$136))))</f>
        <v>-73.316113266839949</v>
      </c>
      <c r="H142" s="337">
        <f>(Calculation!$D$136/1000)^3/12</f>
        <v>2.6272841235283742E-4</v>
      </c>
      <c r="I142" s="337">
        <f>(INPUT!K27/1000)*(INPUT!L27/1000)^3/12</f>
        <v>0</v>
      </c>
      <c r="J142" s="337">
        <f>((1000*(INPUT!L27-G142)^3)/3+((INPUT!K27*G142^3)/3)-((1000-INPUT!K27)*(INPUT!L27-Calculation!$D$136-G142)^3)/3)/(1000^4)</f>
        <v>2.6272841235283731E-4</v>
      </c>
      <c r="K142" s="490">
        <f>IF(INPUT!J27=INPUT!$N$24,(J142/H142)^0.5,IF(INPUT!J27=INPUT!$N$25,(J142/H142)^0.5,IF(INPUT!J27=INPUT!$N$26,(J142/H142)^0.5,IF(INPUT!J27=INPUT!$N$27,(J142/H142)^0.5,"-"))))</f>
        <v>0.99999999999999978</v>
      </c>
      <c r="L142" s="3"/>
      <c r="M142" s="497">
        <f>IF(INPUT!D27=1,IF(INPUT!F27*INPUT!E27=0,3.5,F142),IF(INPUT!D27=2,IF(INPUT!F27*INPUT!E27=0,2.5,F142),IF(INPUT!D27=3,IF(INPUT!F27*INPUT!E27=0,1,F142),IF(INPUT!D27=4,IF(INPUT!F27*INPUT!E27=0,1.5,F142),"-"))))</f>
        <v>3.5</v>
      </c>
      <c r="N142" s="490">
        <f>IF(INPUT!J27=1,IF(INPUT!L27*INPUT!K27=0,3.5,K142),IF(INPUT!J27=2,IF(INPUT!L27*INPUT!K27=0,2.5,K142),IF(INPUT!J27=3,IF(INPUT!L27*INPUT!K27=0,1,K142),IF(INPUT!J27=4,IF(INPUT!L27*INPUT!K27=0,1.5,K142),"-"))))</f>
        <v>3.5</v>
      </c>
      <c r="O142" s="545"/>
      <c r="P142" s="545"/>
      <c r="Q142" s="545"/>
      <c r="R142" s="545"/>
      <c r="S142" s="545"/>
      <c r="T142" s="545"/>
      <c r="U142" s="545"/>
      <c r="V142" s="545"/>
      <c r="W142" s="545"/>
      <c r="X142" s="186"/>
      <c r="Y142" s="186"/>
      <c r="Z142" s="186"/>
      <c r="AA142" s="186"/>
      <c r="AB142" s="186"/>
      <c r="AC142" s="186"/>
      <c r="AD142" s="186"/>
      <c r="AE142" s="186"/>
      <c r="AF142" s="186"/>
    </row>
    <row r="143" spans="1:32" ht="14.25" x14ac:dyDescent="0.2">
      <c r="A143" s="486" t="s">
        <v>499</v>
      </c>
      <c r="B143" s="337">
        <f>((INPUT!E28*((INPUT!F28-Calculation!$D$136)^2)+Calculation!$D$136*1000*(2*INPUT!F28-Calculation!$D$136))/(2*(Calculation!$D$136*1000+INPUT!E28*(INPUT!F28-Calculation!$D$136))))</f>
        <v>-73.316113266839949</v>
      </c>
      <c r="C143" s="337">
        <f>(Calculation!$D$136/1000)^3/12</f>
        <v>2.6272841235283742E-4</v>
      </c>
      <c r="D143" s="337">
        <f>(INPUT!E28/1000)*(INPUT!F28/1000)^3/12</f>
        <v>0</v>
      </c>
      <c r="E143" s="337">
        <f>((1000*(INPUT!F28-B143)^3)/3+((INPUT!E28*B143^3)/3)-((1000-INPUT!E28)*(INPUT!F28-Calculation!$D$136-B143)^3)/3)/(1000^4)</f>
        <v>2.6272841235283731E-4</v>
      </c>
      <c r="F143" s="490">
        <f>IF(INPUT!D28=INPUT!$N$24,(E143/C143)^0.5,IF(INPUT!D28=INPUT!$N$25,(E143/C143)^0.5,IF(INPUT!D28=INPUT!$N$26,(E143/C143)^0.5,IF(INPUT!D28=INPUT!$N$27,(E143/C143)^0.5,"-"))))</f>
        <v>0.99999999999999978</v>
      </c>
      <c r="G143" s="492">
        <f>((INPUT!K28*((INPUT!L28-Calculation!$D$136)^2)+Calculation!$D$136*1000*(2*INPUT!L28-Calculation!$D$136))/(2*(Calculation!$D$136*1000+INPUT!K28*(INPUT!L28-Calculation!$D$136))))</f>
        <v>-73.316113266839949</v>
      </c>
      <c r="H143" s="337">
        <f>(Calculation!$D$136/1000)^3/12</f>
        <v>2.6272841235283742E-4</v>
      </c>
      <c r="I143" s="337">
        <f>(INPUT!K28/1000)*(INPUT!L28/1000)^3/12</f>
        <v>0</v>
      </c>
      <c r="J143" s="337">
        <f>((1000*(INPUT!L28-G143)^3)/3+((INPUT!K28*G143^3)/3)-((1000-INPUT!K28)*(INPUT!L28-Calculation!$D$136-G143)^3)/3)/(1000^4)</f>
        <v>2.6272841235283731E-4</v>
      </c>
      <c r="K143" s="490">
        <f>IF(INPUT!J28=INPUT!$N$24,(J143/H143)^0.5,IF(INPUT!J28=INPUT!$N$25,(J143/H143)^0.5,IF(INPUT!J28=INPUT!$N$26,(J143/H143)^0.5,IF(INPUT!J28=INPUT!$N$27,(J143/H143)^0.5,"-"))))</f>
        <v>0.99999999999999978</v>
      </c>
      <c r="L143" s="3"/>
      <c r="M143" s="497">
        <f>IF(INPUT!D28=1,IF(INPUT!F28*INPUT!E28=0,3.5,F143),IF(INPUT!D28=2,IF(INPUT!F28*INPUT!E28=0,2.5,F143),IF(INPUT!D28=3,IF(INPUT!F28*INPUT!E28=0,1,F143),IF(INPUT!D28=4,IF(INPUT!F28*INPUT!E28=0,1.5,F143),"-"))))</f>
        <v>3.5</v>
      </c>
      <c r="N143" s="490">
        <f>IF(INPUT!J28=1,IF(INPUT!L28*INPUT!K28=0,3.5,K143),IF(INPUT!J28=2,IF(INPUT!L28*INPUT!K28=0,2.5,K143),IF(INPUT!J28=3,IF(INPUT!L28*INPUT!K28=0,1,K143),IF(INPUT!J28=4,IF(INPUT!L28*INPUT!K28=0,1.5,K143),"-"))))</f>
        <v>3.5</v>
      </c>
      <c r="O143" s="545"/>
      <c r="P143" s="545"/>
      <c r="Q143" s="545"/>
      <c r="R143" s="545"/>
      <c r="S143" s="545"/>
      <c r="T143" s="545"/>
      <c r="U143" s="545"/>
      <c r="V143" s="545"/>
      <c r="W143" s="545"/>
      <c r="X143" s="186"/>
      <c r="Y143" s="186"/>
      <c r="Z143" s="186"/>
      <c r="AA143" s="186"/>
      <c r="AB143" s="186"/>
      <c r="AC143" s="186"/>
      <c r="AD143" s="186"/>
      <c r="AE143" s="186"/>
      <c r="AF143" s="186"/>
    </row>
    <row r="144" spans="1:32" ht="14.25" x14ac:dyDescent="0.2">
      <c r="A144" s="486" t="s">
        <v>500</v>
      </c>
      <c r="B144" s="337">
        <f>((INPUT!E29*((INPUT!F29-Calculation!$D$136)^2)+Calculation!$D$136*1000*(2*INPUT!F29-Calculation!$D$136))/(2*(Calculation!$D$136*1000+INPUT!E29*(INPUT!F29-Calculation!$D$136))))</f>
        <v>-73.316113266839949</v>
      </c>
      <c r="C144" s="337">
        <f>(Calculation!$D$136/1000)^3/12</f>
        <v>2.6272841235283742E-4</v>
      </c>
      <c r="D144" s="337">
        <f>(INPUT!E29/1000)*(INPUT!F29/1000)^3/12</f>
        <v>0</v>
      </c>
      <c r="E144" s="337">
        <f>((1000*(INPUT!F29-B144)^3)/3+((INPUT!E29*B144^3)/3)-((1000-INPUT!E29)*(INPUT!F29-Calculation!$D$136-B144)^3)/3)/(1000^4)</f>
        <v>2.6272841235283731E-4</v>
      </c>
      <c r="F144" s="490">
        <f>IF(INPUT!D29=INPUT!$N$24,(E144/C144)^0.5,IF(INPUT!D29=INPUT!$N$25,(E144/C144)^0.5,IF(INPUT!D29=INPUT!$N$26,(E144/C144)^0.5,IF(INPUT!D29=INPUT!$N$27,(E144/C144)^0.5,"-"))))</f>
        <v>0.99999999999999978</v>
      </c>
      <c r="G144" s="492">
        <f>((INPUT!K29*((INPUT!L29-Calculation!$D$136)^2)+Calculation!$D$136*1000*(2*INPUT!L29-Calculation!$D$136))/(2*(Calculation!$D$136*1000+INPUT!K29*(INPUT!L29-Calculation!$D$136))))</f>
        <v>-73.316113266839949</v>
      </c>
      <c r="H144" s="337">
        <f>(Calculation!$D$136/1000)^3/12</f>
        <v>2.6272841235283742E-4</v>
      </c>
      <c r="I144" s="337">
        <f>(INPUT!K29/1000)*(INPUT!L29/1000)^3/12</f>
        <v>0</v>
      </c>
      <c r="J144" s="337">
        <f>((1000*(INPUT!L29-G144)^3)/3+((INPUT!K29*G144^3)/3)-((1000-INPUT!K29)*(INPUT!L29-Calculation!$D$136-G144)^3)/3)/(1000^4)</f>
        <v>2.6272841235283731E-4</v>
      </c>
      <c r="K144" s="490">
        <f>IF(INPUT!J29=INPUT!$N$24,(J144/H144)^0.5,IF(INPUT!J29=INPUT!$N$25,(J144/H144)^0.5,IF(INPUT!J29=INPUT!$N$26,(J144/H144)^0.5,IF(INPUT!J29=INPUT!$N$27,(J144/H144)^0.5,"-"))))</f>
        <v>0.99999999999999978</v>
      </c>
      <c r="L144" s="3"/>
      <c r="M144" s="497">
        <f>IF(INPUT!D29=1,IF(INPUT!F29*INPUT!E29=0,3.5,F144),IF(INPUT!D29=2,IF(INPUT!F29*INPUT!E29=0,2.5,F144),IF(INPUT!D29=3,IF(INPUT!F29*INPUT!E29=0,1,F144),IF(INPUT!D29=4,IF(INPUT!F29*INPUT!E29=0,1.5,F144),"-"))))</f>
        <v>3.5</v>
      </c>
      <c r="N144" s="490">
        <f>IF(INPUT!J29=1,IF(INPUT!L29*INPUT!K29=0,3.5,K144),IF(INPUT!J29=2,IF(INPUT!L29*INPUT!K29=0,2.5,K144),IF(INPUT!J29=3,IF(INPUT!L29*INPUT!K29=0,1,K144),IF(INPUT!J29=4,IF(INPUT!L29*INPUT!K29=0,1.5,K144),"-"))))</f>
        <v>3.5</v>
      </c>
      <c r="O144" s="545"/>
      <c r="P144" s="545"/>
      <c r="Q144" s="545"/>
      <c r="R144" s="545"/>
      <c r="S144" s="545"/>
      <c r="T144" s="545"/>
      <c r="U144" s="545"/>
      <c r="V144" s="545"/>
      <c r="W144" s="545"/>
      <c r="X144" s="186"/>
      <c r="Y144" s="186"/>
      <c r="Z144" s="186"/>
      <c r="AA144" s="186"/>
      <c r="AB144" s="186"/>
      <c r="AC144" s="186"/>
      <c r="AD144" s="186"/>
      <c r="AE144" s="186"/>
      <c r="AF144" s="186"/>
    </row>
    <row r="145" spans="1:42" ht="15" thickBot="1" x14ac:dyDescent="0.25">
      <c r="A145" s="491" t="s">
        <v>36</v>
      </c>
      <c r="B145" s="338">
        <f>((INPUT!E30*((INPUT!F30-Calculation!$D$136)^2)+Calculation!$D$136*1000*(2*INPUT!F30-Calculation!$D$136))/(2*(Calculation!$D$136*1000+INPUT!E30*(INPUT!F30-Calculation!$D$136))))</f>
        <v>-73.316113266839949</v>
      </c>
      <c r="C145" s="338">
        <f>(Calculation!$D$136/1000)^3/12</f>
        <v>2.6272841235283742E-4</v>
      </c>
      <c r="D145" s="338">
        <f>(INPUT!E30/1000)*(INPUT!F30/1000)^3/12</f>
        <v>0</v>
      </c>
      <c r="E145" s="338">
        <f>((1000*(INPUT!F30-B145)^3)/3+((INPUT!E30*B145^3)/3)-((1000-INPUT!E30)*(INPUT!F30-Calculation!$D$136-B145)^3)/3)/(1000^4)</f>
        <v>2.6272841235283731E-4</v>
      </c>
      <c r="F145" s="340">
        <f>IF(INPUT!D30=INPUT!$N$24,(E145/C145)^0.5,IF(INPUT!D30=INPUT!$N$25,(E145/C145)^0.5,IF(INPUT!D30=INPUT!$N$26,(E145/C145)^0.5,IF(INPUT!D30=INPUT!$N$27,(E145/C145)^0.5,"-"))))</f>
        <v>0.99999999999999978</v>
      </c>
      <c r="G145" s="339">
        <f>((INPUT!K30*((INPUT!L30-Calculation!$D$136)^2)+Calculation!$D$136*1000*(2*INPUT!L30-Calculation!$D$136))/(2*(Calculation!$D$136*1000+INPUT!K30*(INPUT!L30-Calculation!$D$136))))</f>
        <v>-73.316113266839949</v>
      </c>
      <c r="H145" s="338">
        <f>(Calculation!$D$136/1000)^3/12</f>
        <v>2.6272841235283742E-4</v>
      </c>
      <c r="I145" s="338">
        <f>(INPUT!K30/1000)*(INPUT!L30/1000)^3/12</f>
        <v>0</v>
      </c>
      <c r="J145" s="338">
        <f>((1000*(INPUT!L30-G145)^3)/3+((INPUT!K30*G145^3)/3)-((1000-INPUT!K30)*(INPUT!L30-Calculation!$D$136-G145)^3)/3)/(1000^4)</f>
        <v>2.6272841235283731E-4</v>
      </c>
      <c r="K145" s="340">
        <f>IF(INPUT!J30=INPUT!$N$24,(J145/H145)^0.5,IF(INPUT!J30=INPUT!$N$25,(J145/H145)^0.5,IF(INPUT!J30=INPUT!$N$26,(J145/H145)^0.5,IF(INPUT!J30=INPUT!$N$27,(J145/H145)^0.5,"-"))))</f>
        <v>0.99999999999999978</v>
      </c>
      <c r="L145" s="3"/>
      <c r="M145" s="498">
        <f>IF(INPUT!D30=1,IF(INPUT!F30*INPUT!E30=0,3.5,F145),IF(INPUT!D30=2,IF(INPUT!F30*INPUT!E30=0,2.5,F145),IF(INPUT!D30=3,IF(INPUT!F30*INPUT!E30=0,1,F145),IF(INPUT!D30=4,IF(INPUT!F30*INPUT!E30=0,1.5,F145),"-"))))</f>
        <v>3.5</v>
      </c>
      <c r="N145" s="340">
        <f>IF(INPUT!J30=1,IF(INPUT!L30*INPUT!K30=0,3.5,K145),IF(INPUT!J30=2,IF(INPUT!L30*INPUT!K30=0,2.5,K145),IF(INPUT!J30=3,IF(INPUT!L30*INPUT!K30=0,1,K145),IF(INPUT!J30=4,IF(INPUT!L30*INPUT!K30=0,1.5,K145),"-"))))</f>
        <v>3.5</v>
      </c>
      <c r="O145" s="545"/>
      <c r="P145" s="545"/>
      <c r="Q145" s="545"/>
      <c r="R145" s="545"/>
      <c r="S145" s="545"/>
      <c r="T145" s="545"/>
      <c r="U145" s="545"/>
      <c r="V145" s="545"/>
      <c r="W145" s="545"/>
      <c r="X145" s="186"/>
      <c r="Y145" s="186"/>
      <c r="Z145" s="186"/>
      <c r="AA145" s="186"/>
      <c r="AB145" s="186"/>
      <c r="AC145" s="186"/>
      <c r="AD145" s="186"/>
      <c r="AE145" s="186"/>
      <c r="AF145" s="186"/>
    </row>
    <row r="146" spans="1:42" x14ac:dyDescent="0.2">
      <c r="A146" s="545"/>
      <c r="B146" s="545"/>
      <c r="C146" s="545"/>
      <c r="D146" s="545"/>
      <c r="E146" s="545"/>
      <c r="F146" s="545"/>
      <c r="G146" s="545"/>
      <c r="H146" s="545"/>
      <c r="I146" s="545"/>
      <c r="J146" s="545"/>
      <c r="K146" s="545"/>
      <c r="L146" s="545"/>
      <c r="M146" s="545"/>
      <c r="N146" s="545"/>
      <c r="O146" s="545"/>
      <c r="P146" s="545"/>
      <c r="Q146" s="545"/>
      <c r="R146" s="545"/>
      <c r="S146" s="545"/>
      <c r="T146" s="545"/>
      <c r="U146" s="545"/>
      <c r="V146" s="545"/>
      <c r="W146" s="545"/>
      <c r="X146" s="186"/>
      <c r="Y146" s="186"/>
      <c r="Z146" s="186"/>
      <c r="AA146" s="186"/>
      <c r="AB146" s="186"/>
      <c r="AC146" s="186"/>
      <c r="AD146" s="186"/>
      <c r="AE146" s="186"/>
      <c r="AF146" s="186"/>
    </row>
    <row r="147" spans="1:42" ht="14.25" customHeight="1" x14ac:dyDescent="0.2">
      <c r="A147" s="351" t="s">
        <v>597</v>
      </c>
      <c r="B147" s="3"/>
      <c r="C147" s="3"/>
      <c r="D147" s="3"/>
      <c r="E147" s="3"/>
      <c r="F147" s="3"/>
      <c r="G147" s="3"/>
      <c r="H147" s="3"/>
      <c r="I147" s="3"/>
      <c r="J147" s="3"/>
      <c r="K147" s="3"/>
      <c r="L147" s="335"/>
      <c r="M147" s="335"/>
      <c r="N147" s="335"/>
      <c r="O147" s="335"/>
      <c r="P147" s="376"/>
      <c r="Q147" s="414"/>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row>
    <row r="148" spans="1:42" ht="14.25" customHeight="1" thickBot="1" x14ac:dyDescent="0.25">
      <c r="A148" s="3" t="s">
        <v>506</v>
      </c>
      <c r="B148" s="3"/>
      <c r="C148" s="3"/>
      <c r="D148" s="3"/>
      <c r="E148" s="3"/>
      <c r="F148" s="3"/>
      <c r="G148" s="351"/>
      <c r="H148" s="395" t="s">
        <v>550</v>
      </c>
      <c r="I148" s="396"/>
      <c r="J148" s="396"/>
      <c r="K148" s="396"/>
      <c r="L148" s="3"/>
      <c r="M148" s="395" t="s">
        <v>550</v>
      </c>
      <c r="N148" s="3"/>
      <c r="O148" s="3"/>
      <c r="P148" s="3"/>
      <c r="Q148" s="3"/>
      <c r="R148" s="351" t="s">
        <v>507</v>
      </c>
      <c r="S148" s="351" t="s">
        <v>513</v>
      </c>
      <c r="T148" s="3"/>
      <c r="U148" s="3"/>
      <c r="V148" s="3"/>
      <c r="W148" s="351" t="s">
        <v>507</v>
      </c>
      <c r="X148" s="351" t="s">
        <v>514</v>
      </c>
      <c r="Y148" s="3"/>
      <c r="Z148" s="3"/>
      <c r="AA148" s="3"/>
      <c r="AB148" s="351" t="s">
        <v>507</v>
      </c>
      <c r="AC148" s="351" t="s">
        <v>515</v>
      </c>
      <c r="AD148" s="3"/>
      <c r="AE148" s="3"/>
      <c r="AF148" s="3"/>
      <c r="AG148" s="469" t="s">
        <v>551</v>
      </c>
      <c r="AH148" s="470"/>
      <c r="AI148" s="470"/>
      <c r="AJ148" s="470"/>
      <c r="AK148" s="470"/>
      <c r="AL148" s="469" t="s">
        <v>552</v>
      </c>
      <c r="AM148" s="469"/>
      <c r="AN148" s="470"/>
      <c r="AO148" s="470"/>
      <c r="AP148" s="470"/>
    </row>
    <row r="149" spans="1:42" ht="14.25" customHeight="1" x14ac:dyDescent="0.2">
      <c r="A149" s="342" t="s">
        <v>553</v>
      </c>
      <c r="B149" s="342" t="s">
        <v>501</v>
      </c>
      <c r="C149" s="343" t="s">
        <v>502</v>
      </c>
      <c r="D149" s="343" t="s">
        <v>503</v>
      </c>
      <c r="E149" s="343" t="s">
        <v>504</v>
      </c>
      <c r="F149" s="344" t="s">
        <v>505</v>
      </c>
      <c r="G149" s="341"/>
      <c r="H149" s="397" t="s">
        <v>386</v>
      </c>
      <c r="I149" s="398" t="s">
        <v>480</v>
      </c>
      <c r="J149" s="398" t="s">
        <v>51</v>
      </c>
      <c r="K149" s="398" t="s">
        <v>52</v>
      </c>
      <c r="L149" s="399" t="s">
        <v>14</v>
      </c>
      <c r="M149" s="342" t="s">
        <v>501</v>
      </c>
      <c r="N149" s="343" t="s">
        <v>502</v>
      </c>
      <c r="O149" s="343" t="s">
        <v>503</v>
      </c>
      <c r="P149" s="343" t="s">
        <v>504</v>
      </c>
      <c r="Q149" s="344" t="s">
        <v>505</v>
      </c>
      <c r="R149" s="342" t="s">
        <v>386</v>
      </c>
      <c r="S149" s="343" t="s">
        <v>12</v>
      </c>
      <c r="T149" s="343" t="s">
        <v>51</v>
      </c>
      <c r="U149" s="343" t="s">
        <v>120</v>
      </c>
      <c r="V149" s="344" t="s">
        <v>53</v>
      </c>
      <c r="W149" s="342" t="s">
        <v>386</v>
      </c>
      <c r="X149" s="343" t="s">
        <v>12</v>
      </c>
      <c r="Y149" s="343" t="s">
        <v>51</v>
      </c>
      <c r="Z149" s="343" t="s">
        <v>120</v>
      </c>
      <c r="AA149" s="344" t="s">
        <v>53</v>
      </c>
      <c r="AB149" s="342" t="s">
        <v>386</v>
      </c>
      <c r="AC149" s="343" t="s">
        <v>12</v>
      </c>
      <c r="AD149" s="343" t="s">
        <v>51</v>
      </c>
      <c r="AE149" s="343" t="s">
        <v>120</v>
      </c>
      <c r="AF149" s="344" t="s">
        <v>53</v>
      </c>
      <c r="AG149" s="471" t="s">
        <v>386</v>
      </c>
      <c r="AH149" s="472" t="s">
        <v>480</v>
      </c>
      <c r="AI149" s="472" t="s">
        <v>51</v>
      </c>
      <c r="AJ149" s="472" t="s">
        <v>52</v>
      </c>
      <c r="AK149" s="473" t="s">
        <v>14</v>
      </c>
      <c r="AL149" s="471" t="s">
        <v>386</v>
      </c>
      <c r="AM149" s="472" t="s">
        <v>12</v>
      </c>
      <c r="AN149" s="472" t="s">
        <v>51</v>
      </c>
      <c r="AO149" s="472" t="s">
        <v>52</v>
      </c>
      <c r="AP149" s="473" t="s">
        <v>14</v>
      </c>
    </row>
    <row r="150" spans="1:42" ht="14.25" customHeight="1" x14ac:dyDescent="0.2">
      <c r="A150" s="365">
        <f>Calculation!D122</f>
        <v>0</v>
      </c>
      <c r="B150" s="365" t="str">
        <f>Calculation!E122</f>
        <v>X方向（m）</v>
      </c>
      <c r="C150" s="366"/>
      <c r="D150" s="366"/>
      <c r="E150" s="366"/>
      <c r="F150" s="367"/>
      <c r="G150" s="341"/>
      <c r="H150" s="400" t="str">
        <f>B150</f>
        <v>X方向（m）</v>
      </c>
      <c r="I150" s="401"/>
      <c r="J150" s="401"/>
      <c r="K150" s="401"/>
      <c r="L150" s="402"/>
      <c r="M150" s="365" t="str">
        <f>B150</f>
        <v>X方向（m）</v>
      </c>
      <c r="N150" s="366"/>
      <c r="O150" s="366"/>
      <c r="P150" s="366"/>
      <c r="Q150" s="367"/>
      <c r="R150" s="365" t="str">
        <f>M150</f>
        <v>X方向（m）</v>
      </c>
      <c r="S150" s="366"/>
      <c r="T150" s="366"/>
      <c r="U150" s="366"/>
      <c r="V150" s="367"/>
      <c r="W150" s="365" t="str">
        <f>R150</f>
        <v>X方向（m）</v>
      </c>
      <c r="X150" s="366"/>
      <c r="Y150" s="366"/>
      <c r="Z150" s="366"/>
      <c r="AA150" s="367"/>
      <c r="AB150" s="365" t="str">
        <f>W150</f>
        <v>X方向（m）</v>
      </c>
      <c r="AC150" s="366"/>
      <c r="AD150" s="366"/>
      <c r="AE150" s="366"/>
      <c r="AF150" s="367"/>
      <c r="AG150" s="474" t="str">
        <f>M150</f>
        <v>X方向（m）</v>
      </c>
      <c r="AH150" s="475"/>
      <c r="AI150" s="475"/>
      <c r="AJ150" s="475"/>
      <c r="AK150" s="476"/>
      <c r="AL150" s="474" t="str">
        <f>AG150</f>
        <v>X方向（m）</v>
      </c>
      <c r="AM150" s="475"/>
      <c r="AN150" s="475"/>
      <c r="AO150" s="475"/>
      <c r="AP150" s="476"/>
    </row>
    <row r="151" spans="1:42" ht="14.25" customHeight="1" x14ac:dyDescent="0.2">
      <c r="A151" s="345">
        <f>Calculation!C123</f>
        <v>8.5292298862903113E-2</v>
      </c>
      <c r="B151" s="345">
        <f>Calculation!E123</f>
        <v>9.5740368022593628E-2</v>
      </c>
      <c r="C151" s="346">
        <f>Calculation!G123</f>
        <v>0.1353973269241433</v>
      </c>
      <c r="D151" s="346">
        <f>Calculation!I123</f>
        <v>0.19071937821467941</v>
      </c>
      <c r="E151" s="346">
        <f>Calculation!K123</f>
        <v>0.26971793127856336</v>
      </c>
      <c r="F151" s="347">
        <f>Calculation!M123</f>
        <v>0.38143875642935882</v>
      </c>
      <c r="G151" s="341"/>
      <c r="H151" s="403">
        <f>IF(INPUT!$D26=1,M151,IF(INPUT!$D26=2,M151,IF(INPUT!$D26=3,M151,IF(INPUT!$D26=4,M151,IF(INPUT!$D26=5,R151,IF(INPUT!$D26=7,W151,IF(INPUT!$D26=6,AB151,IF(INPUT!$D26=8,AG151,IF(INPUT!$D26=9,AL151,"-")))))))))</f>
        <v>5.7769410324338537</v>
      </c>
      <c r="I151" s="404">
        <f>IF(INPUT!$D26=1,N151,IF(INPUT!$D26=2,N151,IF(INPUT!$D26=3,N151,IF(INPUT!$D26=4,N151,IF(INPUT!$D26=5,S151,IF(INPUT!$D26=7,X151,IF(INPUT!$D26=6,AC151,IF(INPUT!$D26=8,AH151,IF(INPUT!$D26=9,AM151,"-")))))))))</f>
        <v>4.6926469489744989</v>
      </c>
      <c r="J151" s="404">
        <f>IF(INPUT!$D26=1,O151,IF(INPUT!$D26=2,O151,IF(INPUT!$D26=3,O151,IF(INPUT!$D26=4,O151,IF(INPUT!$D26=5,T151,IF(INPUT!$D26=7,Y151,IF(INPUT!$D26=6,AD151,IF(INPUT!$D26=8,AI151,IF(INPUT!$D26=9,AN151,"-")))))))))</f>
        <v>3.3984768035171005</v>
      </c>
      <c r="K151" s="404">
        <f>IF(INPUT!$D26=1,P151,IF(INPUT!$D26=2,P151,IF(INPUT!$D26=3,P151,IF(INPUT!$D26=4,P151,IF(INPUT!$D26=5,U151,IF(INPUT!$D26=7,Z151,IF(INPUT!$D26=6,AE151,IF(INPUT!$D26=8,AJ151,IF(INPUT!$D26=9,AO151,"-")))))))))</f>
        <v>1.954960694261219</v>
      </c>
      <c r="L151" s="405">
        <f>IF(INPUT!$D26=1,Q151,IF(INPUT!$D26=2,Q151,IF(INPUT!$D26=3,Q151,IF(INPUT!$D26=4,Q151,IF(INPUT!$D26=5,V151,IF(INPUT!$D26=7,AA151,IF(INPUT!$D26=6,AF151,IF(INPUT!$D26=8,AK151,IF(INPUT!$D26=9,AP151,"-")))))))))</f>
        <v>0.62189329785146441</v>
      </c>
      <c r="M151" s="345">
        <f>IF(B151&lt;0.48427,-1.8218*(20*LOG10(INPUT!$G26))*B151^3+4.589*(20*LOG10(INPUT!$G26))*B151^2-3.4997*(20*LOG10(INPUT!$G26))*B151+0.8255*(20*LOG10(INPUT!$G26)),0)</f>
        <v>5.7769410324338537</v>
      </c>
      <c r="N151" s="346">
        <f>IF(C151&lt;0.48427,-1.8218*(20*LOG10(INPUT!$G26))*C151^3+4.589*(20*LOG10(INPUT!$G26))*C151^2-3.4997*(20*LOG10(INPUT!$G26))*C151+0.8255*(20*LOG10(INPUT!$G26)),0)</f>
        <v>4.6926469489744989</v>
      </c>
      <c r="O151" s="346">
        <f>IF(D151&lt;0.48427,-1.8218*(20*LOG10(INPUT!$G26))*D151^3+4.589*(20*LOG10(INPUT!$G26))*D151^2-3.4997*(20*LOG10(INPUT!$G26))*D151+0.8255*(20*LOG10(INPUT!$G26)),0)</f>
        <v>3.3984768035171005</v>
      </c>
      <c r="P151" s="346">
        <f>IF(E151&lt;0.48427,-1.8218*(20*LOG10(INPUT!$G26))*E151^3+4.589*(20*LOG10(INPUT!$G26))*E151^2-3.4997*(20*LOG10(INPUT!$G26))*E151+0.8255*(20*LOG10(INPUT!$G26)),0)</f>
        <v>1.954960694261219</v>
      </c>
      <c r="Q151" s="347">
        <f>IF(F151&lt;0.48427,-1.8218*(20*LOG10(INPUT!$G26))*F151^3+4.589*(20*LOG10(INPUT!$G26))*F151^2-3.4997*(20*LOG10(INPUT!$G26))*F151+0.8255*(20*LOG10(INPUT!$G26)),0)</f>
        <v>0.62189329785146441</v>
      </c>
      <c r="R151" s="345">
        <f t="shared" ref="R151:V155" si="8">IF(B151&lt;0.338,-65.23*B151^3+126.07*B151^2-74.304*B151+13.226,0)</f>
        <v>7.2104484527546253</v>
      </c>
      <c r="S151" s="346">
        <f t="shared" si="8"/>
        <v>5.3146957615236339</v>
      </c>
      <c r="T151" s="346">
        <f t="shared" si="8"/>
        <v>3.1879287097492881</v>
      </c>
      <c r="U151" s="346">
        <f t="shared" si="8"/>
        <v>1.076286890661212</v>
      </c>
      <c r="V151" s="347">
        <f t="shared" si="8"/>
        <v>0</v>
      </c>
      <c r="W151" s="345">
        <f t="shared" ref="W151:AA155" si="9">IF(B151&lt;0.315,-39.535*B151^3+78.148*B151^2-45.219*B151+7.7211,0)</f>
        <v>4.0734428977455099</v>
      </c>
      <c r="X151" s="346">
        <f t="shared" si="9"/>
        <v>2.9330791849055071</v>
      </c>
      <c r="Y151" s="346">
        <f t="shared" si="9"/>
        <v>1.665244146039667</v>
      </c>
      <c r="Z151" s="346">
        <f t="shared" si="9"/>
        <v>0.43408590578285633</v>
      </c>
      <c r="AA151" s="347">
        <f t="shared" si="9"/>
        <v>0</v>
      </c>
      <c r="AB151" s="345">
        <f t="shared" ref="AB151:AF155" si="10">IF(B151&lt;0.422,-41.319*B151^3+96.119*B151^2-68.948*B151+15.082,0)</f>
        <v>9.3256802123263149</v>
      </c>
      <c r="AC151" s="346">
        <f t="shared" si="10"/>
        <v>7.4061600456393348</v>
      </c>
      <c r="AD151" s="346">
        <f t="shared" si="10"/>
        <v>5.1418630679514123</v>
      </c>
      <c r="AE151" s="346">
        <f t="shared" si="10"/>
        <v>2.6671946187467412</v>
      </c>
      <c r="AF151" s="347">
        <f t="shared" si="10"/>
        <v>0.47433832000964671</v>
      </c>
      <c r="AG151" s="477">
        <f t="shared" ref="AG151:AK155" si="11">IF($A151&lt;=0.5,15.37-68.86*$A151+98.65*$A151^2-45.36*$A151^3,0)</f>
        <v>10.186283895705467</v>
      </c>
      <c r="AH151" s="478">
        <f t="shared" si="11"/>
        <v>10.186283895705467</v>
      </c>
      <c r="AI151" s="478">
        <f t="shared" si="11"/>
        <v>10.186283895705467</v>
      </c>
      <c r="AJ151" s="478">
        <f t="shared" si="11"/>
        <v>10.186283895705467</v>
      </c>
      <c r="AK151" s="479">
        <f t="shared" si="11"/>
        <v>10.186283895705467</v>
      </c>
      <c r="AL151" s="477">
        <f t="shared" ref="AL151:AP155" si="12">IF($A151&lt;=0.5,10.93-55.86*$A151+92.57*$A151^2-49.72*$A151^3,0)</f>
        <v>6.808147838132677</v>
      </c>
      <c r="AM151" s="478">
        <f t="shared" si="12"/>
        <v>6.808147838132677</v>
      </c>
      <c r="AN151" s="478">
        <f t="shared" si="12"/>
        <v>6.808147838132677</v>
      </c>
      <c r="AO151" s="478">
        <f t="shared" si="12"/>
        <v>6.808147838132677</v>
      </c>
      <c r="AP151" s="479">
        <f t="shared" si="12"/>
        <v>6.808147838132677</v>
      </c>
    </row>
    <row r="152" spans="1:42" ht="14.25" customHeight="1" x14ac:dyDescent="0.2">
      <c r="A152" s="345">
        <f>Calculation!C124</f>
        <v>0.25587689658870938</v>
      </c>
      <c r="B152" s="345">
        <f>Calculation!E124</f>
        <v>0.2872211040677809</v>
      </c>
      <c r="C152" s="346">
        <f>Calculation!G124</f>
        <v>0.40619198077242991</v>
      </c>
      <c r="D152" s="346">
        <f>Calculation!I124</f>
        <v>0.5721581346440382</v>
      </c>
      <c r="E152" s="346">
        <f>Calculation!K124</f>
        <v>0.80915379383569019</v>
      </c>
      <c r="F152" s="347">
        <f>Calculation!M124</f>
        <v>1.1443162692880764</v>
      </c>
      <c r="G152" s="341"/>
      <c r="H152" s="403">
        <f>IF(INPUT!$D27=1,M152,IF(INPUT!$D27=2,M152,IF(INPUT!$D27=3,M152,IF(INPUT!$D27=4,M152,IF(INPUT!$D27=5,R152,IF(INPUT!$D27=7,W152,IF(INPUT!$D27=6,AB152,IF(INPUT!$D27=8,AG152,IF(INPUT!$D27=9,AL152,"-")))))))))</f>
        <v>1.6944399248739686</v>
      </c>
      <c r="I152" s="404">
        <f>IF(INPUT!$D27=1,N152,IF(INPUT!$D27=2,N152,IF(INPUT!$D27=3,N152,IF(INPUT!$D27=4,N152,IF(INPUT!$D27=5,S152,IF(INPUT!$D27=7,X152,IF(INPUT!$D27=6,AC152,IF(INPUT!$D27=8,AH152,IF(INPUT!$D27=9,AM152,"-")))))))))</f>
        <v>0.42441392664335353</v>
      </c>
      <c r="J152" s="404">
        <f>IF(INPUT!$D27=1,O152,IF(INPUT!$D27=2,O152,IF(INPUT!$D27=3,O152,IF(INPUT!$D27=4,O152,IF(INPUT!$D27=5,T152,IF(INPUT!$D27=7,Y152,IF(INPUT!$D27=6,AD152,IF(INPUT!$D27=8,AI152,IF(INPUT!$D27=9,AN152,"-")))))))))</f>
        <v>0</v>
      </c>
      <c r="K152" s="404">
        <f>IF(INPUT!$D27=1,P152,IF(INPUT!$D27=2,P152,IF(INPUT!$D27=3,P152,IF(INPUT!$D27=4,P152,IF(INPUT!$D27=5,U152,IF(INPUT!$D27=7,Z152,IF(INPUT!$D27=6,AE152,IF(INPUT!$D27=8,AJ152,IF(INPUT!$D27=9,AO152,"-")))))))))</f>
        <v>0</v>
      </c>
      <c r="L152" s="405">
        <f>IF(INPUT!$D27=1,Q152,IF(INPUT!$D27=2,Q152,IF(INPUT!$D27=3,Q152,IF(INPUT!$D27=4,Q152,IF(INPUT!$D27=5,V152,IF(INPUT!$D27=7,AA152,IF(INPUT!$D27=6,AF152,IF(INPUT!$D27=8,AK152,IF(INPUT!$D27=9,AP152,"-")))))))))</f>
        <v>0</v>
      </c>
      <c r="M152" s="345">
        <f>IF(B152&lt;0.48427,-1.8218*(20*LOG10(INPUT!$G27))*B152^3+4.589*(20*LOG10(INPUT!$G27))*B152^2-3.4997*(20*LOG10(INPUT!$G27))*B152+0.8255*(20*LOG10(INPUT!$G27)),0)</f>
        <v>1.6944399248739686</v>
      </c>
      <c r="N152" s="346">
        <f>IF(C152&lt;0.48427,-1.8218*(20*LOG10(INPUT!$G27))*C152^3+4.589*(20*LOG10(INPUT!$G27))*C152^2-3.4997*(20*LOG10(INPUT!$G27))*C152+0.8255*(20*LOG10(INPUT!$G27)),0)</f>
        <v>0.42441392664335353</v>
      </c>
      <c r="O152" s="346">
        <f>IF(D152&lt;0.48427,-1.8218*(20*LOG10(INPUT!$G27))*D152^3+4.589*(20*LOG10(INPUT!$G27))*D152^2-3.4997*(20*LOG10(INPUT!$G27))*D152+0.8255*(20*LOG10(INPUT!$G27)),0)</f>
        <v>0</v>
      </c>
      <c r="P152" s="346">
        <f>IF(E152&lt;0.48427,-1.8218*(20*LOG10(INPUT!$G27))*E152^3+4.589*(20*LOG10(INPUT!$G27))*E152^2-3.4997*(20*LOG10(INPUT!$G27))*E152+0.8255*(20*LOG10(INPUT!$G27)),0)</f>
        <v>0</v>
      </c>
      <c r="Q152" s="347">
        <f>IF(F152&lt;0.48427,-1.8218*(20*LOG10(INPUT!$G27))*F152^3+4.589*(20*LOG10(INPUT!$G27))*F152^2-3.4997*(20*LOG10(INPUT!$G27))*F152+0.8255*(20*LOG10(INPUT!$G27)),0)</f>
        <v>0</v>
      </c>
      <c r="R152" s="345">
        <f t="shared" si="8"/>
        <v>0.73899154210434048</v>
      </c>
      <c r="S152" s="346">
        <f t="shared" si="8"/>
        <v>0</v>
      </c>
      <c r="T152" s="346">
        <f t="shared" si="8"/>
        <v>0</v>
      </c>
      <c r="U152" s="346">
        <f t="shared" si="8"/>
        <v>0</v>
      </c>
      <c r="V152" s="347">
        <f t="shared" si="8"/>
        <v>0</v>
      </c>
      <c r="W152" s="345">
        <f t="shared" si="9"/>
        <v>0.24337810390180881</v>
      </c>
      <c r="X152" s="346">
        <f t="shared" si="9"/>
        <v>0</v>
      </c>
      <c r="Y152" s="346">
        <f t="shared" si="9"/>
        <v>0</v>
      </c>
      <c r="Z152" s="346">
        <f t="shared" si="9"/>
        <v>0</v>
      </c>
      <c r="AA152" s="347">
        <f t="shared" si="9"/>
        <v>0</v>
      </c>
      <c r="AB152" s="345">
        <f t="shared" si="10"/>
        <v>2.2290723364216003</v>
      </c>
      <c r="AC152" s="346">
        <f t="shared" si="10"/>
        <v>0.16560102961856771</v>
      </c>
      <c r="AD152" s="346">
        <f t="shared" si="10"/>
        <v>0</v>
      </c>
      <c r="AE152" s="346">
        <f t="shared" si="10"/>
        <v>0</v>
      </c>
      <c r="AF152" s="347">
        <f t="shared" si="10"/>
        <v>0</v>
      </c>
      <c r="AG152" s="477">
        <f t="shared" si="11"/>
        <v>3.4493097980231813</v>
      </c>
      <c r="AH152" s="478">
        <f t="shared" si="11"/>
        <v>3.4493097980231813</v>
      </c>
      <c r="AI152" s="478">
        <f t="shared" si="11"/>
        <v>3.4493097980231813</v>
      </c>
      <c r="AJ152" s="478">
        <f t="shared" si="11"/>
        <v>3.4493097980231813</v>
      </c>
      <c r="AK152" s="479">
        <f t="shared" si="11"/>
        <v>3.4493097980231813</v>
      </c>
      <c r="AL152" s="477">
        <f t="shared" si="12"/>
        <v>1.864590510619843</v>
      </c>
      <c r="AM152" s="478">
        <f t="shared" si="12"/>
        <v>1.864590510619843</v>
      </c>
      <c r="AN152" s="478">
        <f t="shared" si="12"/>
        <v>1.864590510619843</v>
      </c>
      <c r="AO152" s="478">
        <f t="shared" si="12"/>
        <v>1.864590510619843</v>
      </c>
      <c r="AP152" s="479">
        <f t="shared" si="12"/>
        <v>1.864590510619843</v>
      </c>
    </row>
    <row r="153" spans="1:42" ht="14.25" customHeight="1" x14ac:dyDescent="0.2">
      <c r="A153" s="345">
        <f>Calculation!C125</f>
        <v>0.17058459772580623</v>
      </c>
      <c r="B153" s="345">
        <f>Calculation!E125</f>
        <v>0.19148073604518726</v>
      </c>
      <c r="C153" s="346">
        <f>Calculation!G125</f>
        <v>0.2707946538482866</v>
      </c>
      <c r="D153" s="346">
        <f>Calculation!I125</f>
        <v>0.38143875642935882</v>
      </c>
      <c r="E153" s="346">
        <f>Calculation!K125</f>
        <v>0.53943586255712672</v>
      </c>
      <c r="F153" s="347">
        <f>Calculation!M125</f>
        <v>0.76287751285871763</v>
      </c>
      <c r="G153" s="341"/>
      <c r="H153" s="403">
        <f>IF(INPUT!$D28=1,M153,IF(INPUT!$D28=2,M153,IF(INPUT!$D28=3,M153,IF(INPUT!$D28=4,M153,IF(INPUT!$D28=5,R153,IF(INPUT!$D28=7,W153,IF(INPUT!$D28=6,AB153,IF(INPUT!$D28=8,AG153,IF(INPUT!$D28=9,AL153,"-")))))))))</f>
        <v>3.3823601221434378</v>
      </c>
      <c r="I153" s="404">
        <f>IF(INPUT!$D28=1,N153,IF(INPUT!$D28=2,N153,IF(INPUT!$D28=3,N153,IF(INPUT!$D28=4,N153,IF(INPUT!$D28=5,S153,IF(INPUT!$D28=7,X153,IF(INPUT!$D28=6,AC153,IF(INPUT!$D28=8,AH153,IF(INPUT!$D28=9,AM153,"-")))))))))</f>
        <v>1.9383415747557446</v>
      </c>
      <c r="J153" s="404">
        <f>IF(INPUT!$D28=1,O153,IF(INPUT!$D28=2,O153,IF(INPUT!$D28=3,O153,IF(INPUT!$D28=4,O153,IF(INPUT!$D28=5,T153,IF(INPUT!$D28=7,Y153,IF(INPUT!$D28=6,AD153,IF(INPUT!$D28=8,AI153,IF(INPUT!$D28=9,AN153,"-")))))))))</f>
        <v>0.62189329785146441</v>
      </c>
      <c r="K153" s="404">
        <f>IF(INPUT!$D28=1,P153,IF(INPUT!$D28=2,P153,IF(INPUT!$D28=3,P153,IF(INPUT!$D28=4,P153,IF(INPUT!$D28=5,U153,IF(INPUT!$D28=7,Z153,IF(INPUT!$D28=6,AE153,IF(INPUT!$D28=8,AJ153,IF(INPUT!$D28=9,AO153,"-")))))))))</f>
        <v>0</v>
      </c>
      <c r="L153" s="405">
        <f>IF(INPUT!$D28=1,Q153,IF(INPUT!$D28=2,Q153,IF(INPUT!$D28=3,Q153,IF(INPUT!$D28=4,Q153,IF(INPUT!$D28=5,V153,IF(INPUT!$D28=7,AA153,IF(INPUT!$D28=6,AF153,IF(INPUT!$D28=8,AK153,IF(INPUT!$D28=9,AP153,"-")))))))))</f>
        <v>0</v>
      </c>
      <c r="M153" s="345">
        <f>IF(B153&lt;0.48427,-1.8218*(20*LOG10(INPUT!$G28))*B153^3+4.589*(20*LOG10(INPUT!$G28))*B153^2-3.4997*(20*LOG10(INPUT!$G28))*B153+0.8255*(20*LOG10(INPUT!$G28)),0)</f>
        <v>3.3823601221434378</v>
      </c>
      <c r="N153" s="346">
        <f>IF(C153&lt;0.48427,-1.8218*(20*LOG10(INPUT!$G28))*C153^3+4.589*(20*LOG10(INPUT!$G28))*C153^2-3.4997*(20*LOG10(INPUT!$G28))*C153+0.8255*(20*LOG10(INPUT!$G28)),0)</f>
        <v>1.9383415747557446</v>
      </c>
      <c r="O153" s="346">
        <f>IF(D153&lt;0.48427,-1.8218*(20*LOG10(INPUT!$G28))*D153^3+4.589*(20*LOG10(INPUT!$G28))*D153^2-3.4997*(20*LOG10(INPUT!$G28))*D153+0.8255*(20*LOG10(INPUT!$G28)),0)</f>
        <v>0.62189329785146441</v>
      </c>
      <c r="P153" s="346">
        <f>IF(E153&lt;0.48427,-1.8218*(20*LOG10(INPUT!$G28))*E153^3+4.589*(20*LOG10(INPUT!$G28))*E153^2-3.4997*(20*LOG10(INPUT!$G28))*E153+0.8255*(20*LOG10(INPUT!$G28)),0)</f>
        <v>0</v>
      </c>
      <c r="Q153" s="347">
        <f>IF(F153&lt;0.48427,-1.8218*(20*LOG10(INPUT!$G28))*F153^3+4.589*(20*LOG10(INPUT!$G28))*F153^2-3.4997*(20*LOG10(INPUT!$G28))*F153+0.8255*(20*LOG10(INPUT!$G28)),0)</f>
        <v>0</v>
      </c>
      <c r="R153" s="345">
        <f t="shared" si="8"/>
        <v>3.1626010074551907</v>
      </c>
      <c r="S153" s="346">
        <f t="shared" si="8"/>
        <v>1.0542630750451565</v>
      </c>
      <c r="T153" s="346">
        <f t="shared" si="8"/>
        <v>0</v>
      </c>
      <c r="U153" s="346">
        <f t="shared" si="8"/>
        <v>0</v>
      </c>
      <c r="V153" s="347">
        <f t="shared" si="8"/>
        <v>0</v>
      </c>
      <c r="W153" s="345">
        <f t="shared" si="9"/>
        <v>1.650258952989418</v>
      </c>
      <c r="X153" s="346">
        <f t="shared" si="9"/>
        <v>0.42155095902781881</v>
      </c>
      <c r="Y153" s="346">
        <f t="shared" si="9"/>
        <v>0</v>
      </c>
      <c r="Z153" s="346">
        <f t="shared" si="9"/>
        <v>0</v>
      </c>
      <c r="AA153" s="347">
        <f t="shared" si="9"/>
        <v>0</v>
      </c>
      <c r="AB153" s="345">
        <f t="shared" si="10"/>
        <v>5.1138922068052839</v>
      </c>
      <c r="AC153" s="346">
        <f t="shared" si="10"/>
        <v>2.6391480290377931</v>
      </c>
      <c r="AD153" s="346">
        <f t="shared" si="10"/>
        <v>0.47433832000964671</v>
      </c>
      <c r="AE153" s="346">
        <f t="shared" si="10"/>
        <v>0</v>
      </c>
      <c r="AF153" s="347">
        <f t="shared" si="10"/>
        <v>0</v>
      </c>
      <c r="AG153" s="477">
        <f t="shared" si="11"/>
        <v>6.2690106574379749</v>
      </c>
      <c r="AH153" s="478">
        <f t="shared" si="11"/>
        <v>6.2690106574379749</v>
      </c>
      <c r="AI153" s="478">
        <f t="shared" si="11"/>
        <v>6.2690106574379749</v>
      </c>
      <c r="AJ153" s="478">
        <f t="shared" si="11"/>
        <v>6.2690106574379749</v>
      </c>
      <c r="AK153" s="479">
        <f t="shared" si="11"/>
        <v>6.2690106574379749</v>
      </c>
      <c r="AL153" s="477">
        <f t="shared" si="12"/>
        <v>3.8480454438353875</v>
      </c>
      <c r="AM153" s="478">
        <f t="shared" si="12"/>
        <v>3.8480454438353875</v>
      </c>
      <c r="AN153" s="478">
        <f t="shared" si="12"/>
        <v>3.8480454438353875</v>
      </c>
      <c r="AO153" s="478">
        <f t="shared" si="12"/>
        <v>3.8480454438353875</v>
      </c>
      <c r="AP153" s="479">
        <f t="shared" si="12"/>
        <v>3.8480454438353875</v>
      </c>
    </row>
    <row r="154" spans="1:42" ht="14.25" customHeight="1" x14ac:dyDescent="0.2">
      <c r="A154" s="345">
        <f>Calculation!C126</f>
        <v>8.5292298862903113E-2</v>
      </c>
      <c r="B154" s="345">
        <f>Calculation!E126</f>
        <v>9.5740368022593628E-2</v>
      </c>
      <c r="C154" s="346">
        <f>Calculation!G126</f>
        <v>0.1353973269241433</v>
      </c>
      <c r="D154" s="346">
        <f>Calculation!I126</f>
        <v>0.19071937821467941</v>
      </c>
      <c r="E154" s="346">
        <f>Calculation!K126</f>
        <v>0.26971793127856336</v>
      </c>
      <c r="F154" s="347">
        <f>Calculation!M126</f>
        <v>0.38143875642935882</v>
      </c>
      <c r="G154" s="341"/>
      <c r="H154" s="403">
        <f>IF(INPUT!$D29=1,M154,IF(INPUT!$D29=2,M154,IF(INPUT!$D29=3,M154,IF(INPUT!$D29=4,M154,IF(INPUT!$D29=5,R154,IF(INPUT!$D29=7,W154,IF(INPUT!$D29=6,AB154,IF(INPUT!$D29=8,AG154,IF(INPUT!$D29=9,AL154,"-")))))))))</f>
        <v>5.7769410324338537</v>
      </c>
      <c r="I154" s="404">
        <f>IF(INPUT!$D29=1,N154,IF(INPUT!$D29=2,N154,IF(INPUT!$D29=3,N154,IF(INPUT!$D29=4,N154,IF(INPUT!$D29=5,S154,IF(INPUT!$D29=7,X154,IF(INPUT!$D29=6,AC154,IF(INPUT!$D29=8,AH154,IF(INPUT!$D29=9,AM154,"-")))))))))</f>
        <v>4.6926469489744989</v>
      </c>
      <c r="J154" s="404">
        <f>IF(INPUT!$D29=1,O154,IF(INPUT!$D29=2,O154,IF(INPUT!$D29=3,O154,IF(INPUT!$D29=4,O154,IF(INPUT!$D29=5,T154,IF(INPUT!$D29=7,Y154,IF(INPUT!$D29=6,AD154,IF(INPUT!$D29=8,AI154,IF(INPUT!$D29=9,AN154,"-")))))))))</f>
        <v>3.3984768035171005</v>
      </c>
      <c r="K154" s="404">
        <f>IF(INPUT!$D29=1,P154,IF(INPUT!$D29=2,P154,IF(INPUT!$D29=3,P154,IF(INPUT!$D29=4,P154,IF(INPUT!$D29=5,U154,IF(INPUT!$D29=7,Z154,IF(INPUT!$D29=6,AE154,IF(INPUT!$D29=8,AJ154,IF(INPUT!$D29=9,AO154,"-")))))))))</f>
        <v>1.954960694261219</v>
      </c>
      <c r="L154" s="405">
        <f>IF(INPUT!$D29=1,Q154,IF(INPUT!$D29=2,Q154,IF(INPUT!$D29=3,Q154,IF(INPUT!$D29=4,Q154,IF(INPUT!$D29=5,V154,IF(INPUT!$D29=7,AA154,IF(INPUT!$D29=6,AF154,IF(INPUT!$D29=8,AK154,IF(INPUT!$D29=9,AP154,"-")))))))))</f>
        <v>0.62189329785146441</v>
      </c>
      <c r="M154" s="345">
        <f>IF(B154&lt;0.48427,-1.8218*(20*LOG10(INPUT!$G29))*B154^3+4.589*(20*LOG10(INPUT!$G29))*B154^2-3.4997*(20*LOG10(INPUT!$G29))*B154+0.8255*(20*LOG10(INPUT!$G29)),0)</f>
        <v>5.7769410324338537</v>
      </c>
      <c r="N154" s="346">
        <f>IF(C154&lt;0.48427,-1.8218*(20*LOG10(INPUT!$G29))*C154^3+4.589*(20*LOG10(INPUT!$G29))*C154^2-3.4997*(20*LOG10(INPUT!$G29))*C154+0.8255*(20*LOG10(INPUT!$G29)),0)</f>
        <v>4.6926469489744989</v>
      </c>
      <c r="O154" s="346">
        <f>IF(D154&lt;0.48427,-1.8218*(20*LOG10(INPUT!$G29))*D154^3+4.589*(20*LOG10(INPUT!$G29))*D154^2-3.4997*(20*LOG10(INPUT!$G29))*D154+0.8255*(20*LOG10(INPUT!$G29)),0)</f>
        <v>3.3984768035171005</v>
      </c>
      <c r="P154" s="346">
        <f>IF(E154&lt;0.48427,-1.8218*(20*LOG10(INPUT!$G29))*E154^3+4.589*(20*LOG10(INPUT!$G29))*E154^2-3.4997*(20*LOG10(INPUT!$G29))*E154+0.8255*(20*LOG10(INPUT!$G29)),0)</f>
        <v>1.954960694261219</v>
      </c>
      <c r="Q154" s="347">
        <f>IF(F154&lt;0.48427,-1.8218*(20*LOG10(INPUT!$G29))*F154^3+4.589*(20*LOG10(INPUT!$G29))*F154^2-3.4997*(20*LOG10(INPUT!$G29))*F154+0.8255*(20*LOG10(INPUT!$G29)),0)</f>
        <v>0.62189329785146441</v>
      </c>
      <c r="R154" s="345">
        <f t="shared" si="8"/>
        <v>7.2104484527546253</v>
      </c>
      <c r="S154" s="346">
        <f t="shared" si="8"/>
        <v>5.3146957615236339</v>
      </c>
      <c r="T154" s="346">
        <f t="shared" si="8"/>
        <v>3.1879287097492881</v>
      </c>
      <c r="U154" s="346">
        <f t="shared" si="8"/>
        <v>1.076286890661212</v>
      </c>
      <c r="V154" s="347">
        <f t="shared" si="8"/>
        <v>0</v>
      </c>
      <c r="W154" s="345">
        <f t="shared" si="9"/>
        <v>4.0734428977455099</v>
      </c>
      <c r="X154" s="346">
        <f t="shared" si="9"/>
        <v>2.9330791849055071</v>
      </c>
      <c r="Y154" s="346">
        <f t="shared" si="9"/>
        <v>1.665244146039667</v>
      </c>
      <c r="Z154" s="346">
        <f t="shared" si="9"/>
        <v>0.43408590578285633</v>
      </c>
      <c r="AA154" s="347">
        <f t="shared" si="9"/>
        <v>0</v>
      </c>
      <c r="AB154" s="345">
        <f t="shared" si="10"/>
        <v>9.3256802123263149</v>
      </c>
      <c r="AC154" s="346">
        <f t="shared" si="10"/>
        <v>7.4061600456393348</v>
      </c>
      <c r="AD154" s="346">
        <f t="shared" si="10"/>
        <v>5.1418630679514123</v>
      </c>
      <c r="AE154" s="346">
        <f t="shared" si="10"/>
        <v>2.6671946187467412</v>
      </c>
      <c r="AF154" s="347">
        <f t="shared" si="10"/>
        <v>0.47433832000964671</v>
      </c>
      <c r="AG154" s="477">
        <f t="shared" si="11"/>
        <v>10.186283895705467</v>
      </c>
      <c r="AH154" s="478">
        <f t="shared" si="11"/>
        <v>10.186283895705467</v>
      </c>
      <c r="AI154" s="478">
        <f t="shared" si="11"/>
        <v>10.186283895705467</v>
      </c>
      <c r="AJ154" s="478">
        <f t="shared" si="11"/>
        <v>10.186283895705467</v>
      </c>
      <c r="AK154" s="479">
        <f t="shared" si="11"/>
        <v>10.186283895705467</v>
      </c>
      <c r="AL154" s="477">
        <f t="shared" si="12"/>
        <v>6.808147838132677</v>
      </c>
      <c r="AM154" s="478">
        <f t="shared" si="12"/>
        <v>6.808147838132677</v>
      </c>
      <c r="AN154" s="478">
        <f t="shared" si="12"/>
        <v>6.808147838132677</v>
      </c>
      <c r="AO154" s="478">
        <f t="shared" si="12"/>
        <v>6.808147838132677</v>
      </c>
      <c r="AP154" s="479">
        <f t="shared" si="12"/>
        <v>6.808147838132677</v>
      </c>
    </row>
    <row r="155" spans="1:42" ht="14.25" customHeight="1" thickBot="1" x14ac:dyDescent="0.25">
      <c r="A155" s="348">
        <f>Calculation!C127</f>
        <v>0.25587689658870938</v>
      </c>
      <c r="B155" s="348">
        <f>Calculation!E127</f>
        <v>0.2872211040677809</v>
      </c>
      <c r="C155" s="349">
        <f>Calculation!G127</f>
        <v>0.40619198077242991</v>
      </c>
      <c r="D155" s="349">
        <f>Calculation!I127</f>
        <v>0.5721581346440382</v>
      </c>
      <c r="E155" s="349">
        <f>Calculation!K127</f>
        <v>0.80915379383569019</v>
      </c>
      <c r="F155" s="350">
        <f>Calculation!M127</f>
        <v>1.1443162692880764</v>
      </c>
      <c r="G155" s="341"/>
      <c r="H155" s="406">
        <f>IF(INPUT!$D30=1,M155,IF(INPUT!$D30=2,M155,IF(INPUT!$D30=3,M155,IF(INPUT!$D30=4,M155,IF(INPUT!$D30=5,R155,IF(INPUT!$D30=7,W155,IF(INPUT!$D30=6,AB155,IF(INPUT!$D30=8,AG155,IF(INPUT!$D30=9,AL155,"-")))))))))</f>
        <v>1.6944399248739686</v>
      </c>
      <c r="I155" s="407">
        <f>IF(INPUT!$D30=1,N155,IF(INPUT!$D30=2,N155,IF(INPUT!$D30=3,N155,IF(INPUT!$D30=4,N155,IF(INPUT!$D30=5,S155,IF(INPUT!$D30=7,X155,IF(INPUT!$D30=6,AC155,IF(INPUT!$D30=8,AH155,IF(INPUT!$D30=9,AM155,"-")))))))))</f>
        <v>0.42441392664335353</v>
      </c>
      <c r="J155" s="407">
        <f>IF(INPUT!$D30=1,O155,IF(INPUT!$D30=2,O155,IF(INPUT!$D30=3,O155,IF(INPUT!$D30=4,O155,IF(INPUT!$D30=5,T155,IF(INPUT!$D30=7,Y155,IF(INPUT!$D30=6,AD155,IF(INPUT!$D30=8,AI155,IF(INPUT!$D30=9,AN155,"-")))))))))</f>
        <v>0</v>
      </c>
      <c r="K155" s="407">
        <f>IF(INPUT!$D30=1,P155,IF(INPUT!$D30=2,P155,IF(INPUT!$D30=3,P155,IF(INPUT!$D30=4,P155,IF(INPUT!$D30=5,U155,IF(INPUT!$D30=7,Z155,IF(INPUT!$D30=6,AE155,IF(INPUT!$D30=8,AJ155,IF(INPUT!$D30=9,AO155,"-")))))))))</f>
        <v>0</v>
      </c>
      <c r="L155" s="408">
        <f>IF(INPUT!$D30=1,Q155,IF(INPUT!$D30=2,Q155,IF(INPUT!$D30=3,Q155,IF(INPUT!$D30=4,Q155,IF(INPUT!$D30=5,V155,IF(INPUT!$D30=7,AA155,IF(INPUT!$D30=6,AF155,IF(INPUT!$D30=8,AK155,IF(INPUT!$D30=9,AP155,"-")))))))))</f>
        <v>0</v>
      </c>
      <c r="M155" s="348">
        <f>IF(B155&lt;0.48427,-1.8218*(20*LOG10(INPUT!$G30))*B155^3+4.589*(20*LOG10(INPUT!$G30))*B155^2-3.4997*(20*LOG10(INPUT!$G30))*B155+0.8255*(20*LOG10(INPUT!$G30)),0)</f>
        <v>1.6944399248739686</v>
      </c>
      <c r="N155" s="349">
        <f>IF(C155&lt;0.48427,-1.8218*(20*LOG10(INPUT!$G30))*C155^3+4.589*(20*LOG10(INPUT!$G30))*C155^2-3.4997*(20*LOG10(INPUT!$G30))*C155+0.8255*(20*LOG10(INPUT!$G30)),0)</f>
        <v>0.42441392664335353</v>
      </c>
      <c r="O155" s="349">
        <f>IF(D155&lt;0.48427,-1.8218*(20*LOG10(INPUT!$G30))*D155^3+4.589*(20*LOG10(INPUT!$G30))*D155^2-3.4997*(20*LOG10(INPUT!$G30))*D155+0.8255*(20*LOG10(INPUT!$G30)),0)</f>
        <v>0</v>
      </c>
      <c r="P155" s="349">
        <f>IF(E155&lt;0.48427,-1.8218*(20*LOG10(INPUT!$G30))*E155^3+4.589*(20*LOG10(INPUT!$G30))*E155^2-3.4997*(20*LOG10(INPUT!$G30))*E155+0.8255*(20*LOG10(INPUT!$G30)),0)</f>
        <v>0</v>
      </c>
      <c r="Q155" s="350">
        <f>IF(F155&lt;0.48427,-1.8218*(20*LOG10(INPUT!$G30))*F155^3+4.589*(20*LOG10(INPUT!$G30))*F155^2-3.4997*(20*LOG10(INPUT!$G30))*F155+0.8255*(20*LOG10(INPUT!$G30)),0)</f>
        <v>0</v>
      </c>
      <c r="R155" s="348">
        <f t="shared" si="8"/>
        <v>0.73899154210434048</v>
      </c>
      <c r="S155" s="349">
        <f t="shared" si="8"/>
        <v>0</v>
      </c>
      <c r="T155" s="349">
        <f t="shared" si="8"/>
        <v>0</v>
      </c>
      <c r="U155" s="349">
        <f t="shared" si="8"/>
        <v>0</v>
      </c>
      <c r="V155" s="350">
        <f t="shared" si="8"/>
        <v>0</v>
      </c>
      <c r="W155" s="348">
        <f t="shared" si="9"/>
        <v>0.24337810390180881</v>
      </c>
      <c r="X155" s="349">
        <f t="shared" si="9"/>
        <v>0</v>
      </c>
      <c r="Y155" s="349">
        <f t="shared" si="9"/>
        <v>0</v>
      </c>
      <c r="Z155" s="349">
        <f t="shared" si="9"/>
        <v>0</v>
      </c>
      <c r="AA155" s="350">
        <f t="shared" si="9"/>
        <v>0</v>
      </c>
      <c r="AB155" s="348">
        <f t="shared" si="10"/>
        <v>2.2290723364216003</v>
      </c>
      <c r="AC155" s="349">
        <f t="shared" si="10"/>
        <v>0.16560102961856771</v>
      </c>
      <c r="AD155" s="349">
        <f t="shared" si="10"/>
        <v>0</v>
      </c>
      <c r="AE155" s="349">
        <f t="shared" si="10"/>
        <v>0</v>
      </c>
      <c r="AF155" s="350">
        <f t="shared" si="10"/>
        <v>0</v>
      </c>
      <c r="AG155" s="480">
        <f t="shared" si="11"/>
        <v>3.4493097980231813</v>
      </c>
      <c r="AH155" s="481">
        <f t="shared" si="11"/>
        <v>3.4493097980231813</v>
      </c>
      <c r="AI155" s="481">
        <f t="shared" si="11"/>
        <v>3.4493097980231813</v>
      </c>
      <c r="AJ155" s="481">
        <f t="shared" si="11"/>
        <v>3.4493097980231813</v>
      </c>
      <c r="AK155" s="482">
        <f t="shared" si="11"/>
        <v>3.4493097980231813</v>
      </c>
      <c r="AL155" s="480">
        <f t="shared" si="12"/>
        <v>1.864590510619843</v>
      </c>
      <c r="AM155" s="481">
        <f t="shared" si="12"/>
        <v>1.864590510619843</v>
      </c>
      <c r="AN155" s="481">
        <f t="shared" si="12"/>
        <v>1.864590510619843</v>
      </c>
      <c r="AO155" s="481">
        <f t="shared" si="12"/>
        <v>1.864590510619843</v>
      </c>
      <c r="AP155" s="482">
        <f t="shared" si="12"/>
        <v>1.864590510619843</v>
      </c>
    </row>
    <row r="156" spans="1:42" ht="14.25" customHeight="1" x14ac:dyDescent="0.2">
      <c r="A156" s="368" t="str">
        <f>Calculation!C128</f>
        <v>Y方向（m）</v>
      </c>
      <c r="B156" s="368" t="str">
        <f>Calculation!E128</f>
        <v>Y方向（m）</v>
      </c>
      <c r="C156" s="369"/>
      <c r="D156" s="369"/>
      <c r="E156" s="369"/>
      <c r="F156" s="370"/>
      <c r="G156" s="341"/>
      <c r="H156" s="400" t="str">
        <f>B156</f>
        <v>Y方向（m）</v>
      </c>
      <c r="I156" s="409"/>
      <c r="J156" s="409"/>
      <c r="K156" s="409"/>
      <c r="L156" s="410"/>
      <c r="M156" s="368" t="str">
        <f>B156</f>
        <v>Y方向（m）</v>
      </c>
      <c r="N156" s="369"/>
      <c r="O156" s="369"/>
      <c r="P156" s="369"/>
      <c r="Q156" s="370"/>
      <c r="R156" s="368" t="str">
        <f>M156</f>
        <v>Y方向（m）</v>
      </c>
      <c r="S156" s="369"/>
      <c r="T156" s="369"/>
      <c r="U156" s="369"/>
      <c r="V156" s="370"/>
      <c r="W156" s="368" t="str">
        <f>R156</f>
        <v>Y方向（m）</v>
      </c>
      <c r="X156" s="369"/>
      <c r="Y156" s="369"/>
      <c r="Z156" s="369"/>
      <c r="AA156" s="370"/>
      <c r="AB156" s="368" t="str">
        <f>W156</f>
        <v>Y方向（m）</v>
      </c>
      <c r="AC156" s="369"/>
      <c r="AD156" s="369"/>
      <c r="AE156" s="369"/>
      <c r="AF156" s="370"/>
      <c r="AG156" s="483" t="str">
        <f>M156</f>
        <v>Y方向（m）</v>
      </c>
      <c r="AH156" s="484"/>
      <c r="AI156" s="484"/>
      <c r="AJ156" s="484"/>
      <c r="AK156" s="485"/>
      <c r="AL156" s="483" t="str">
        <f>AG156</f>
        <v>Y方向（m）</v>
      </c>
      <c r="AM156" s="484"/>
      <c r="AN156" s="484"/>
      <c r="AO156" s="484"/>
      <c r="AP156" s="485"/>
    </row>
    <row r="157" spans="1:42" ht="14.25" customHeight="1" x14ac:dyDescent="0.2">
      <c r="A157" s="345" t="e">
        <f>Calculation!C129</f>
        <v>#VALUE!</v>
      </c>
      <c r="B157" s="345" t="e">
        <f>Calculation!E129</f>
        <v>#VALUE!</v>
      </c>
      <c r="C157" s="346" t="e">
        <f>Calculation!G129</f>
        <v>#VALUE!</v>
      </c>
      <c r="D157" s="346" t="e">
        <f>Calculation!I129</f>
        <v>#VALUE!</v>
      </c>
      <c r="E157" s="346" t="e">
        <f>Calculation!K129</f>
        <v>#VALUE!</v>
      </c>
      <c r="F157" s="347" t="e">
        <f>Calculation!M129</f>
        <v>#VALUE!</v>
      </c>
      <c r="G157" s="341"/>
      <c r="H157" s="403" t="e">
        <f>IF(INPUT!$J26=1,M157,IF(INPUT!$J26=2,M157,IF(INPUT!$J26=3,M157,IF(INPUT!$J26=4,M157,IF(INPUT!$J26=5,R157,IF(INPUT!$J26=7,W157,IF(INPUT!$J26=6,AB157,IF(INPUT!$J26=8,AG157,IF(INPUT!$J26=9,AL157,"-")))))))))</f>
        <v>#VALUE!</v>
      </c>
      <c r="I157" s="404" t="e">
        <f>IF(INPUT!$J26=1,N157,IF(INPUT!$J26=2,N157,IF(INPUT!$J26=3,N157,IF(INPUT!$J26=4,N157,IF(INPUT!$J26=5,S157,IF(INPUT!$J26=7,X157,IF(INPUT!$J26=6,AC157,IF(INPUT!$J26=8,AH157,IF(INPUT!$J26=9,AM157,"-")))))))))</f>
        <v>#VALUE!</v>
      </c>
      <c r="J157" s="404" t="e">
        <f>IF(INPUT!$J26=1,O157,IF(INPUT!$J26=2,O157,IF(INPUT!$J26=3,O157,IF(INPUT!$J26=4,O157,IF(INPUT!$J26=5,T157,IF(INPUT!$J26=7,Y157,IF(INPUT!$J26=6,AD157,IF(INPUT!$J26=8,AI157,IF(INPUT!$J26=9,AN157,"-")))))))))</f>
        <v>#VALUE!</v>
      </c>
      <c r="K157" s="404" t="e">
        <f>IF(INPUT!$J26=1,P157,IF(INPUT!$J26=2,P157,IF(INPUT!$J26=3,P157,IF(INPUT!$J26=4,P157,IF(INPUT!$J26=5,U157,IF(INPUT!$J26=7,Z157,IF(INPUT!$J26=6,AE157,IF(INPUT!$J26=8,AJ157,IF(INPUT!$J26=9,AO157,"-")))))))))</f>
        <v>#VALUE!</v>
      </c>
      <c r="L157" s="405" t="e">
        <f>IF(INPUT!$J26=1,Q157,IF(INPUT!$J26=2,Q157,IF(INPUT!$J26=3,Q157,IF(INPUT!$J26=4,Q157,IF(INPUT!$J26=5,V157,IF(INPUT!$J26=7,AA157,IF(INPUT!$J26=6,AF157,IF(INPUT!$J26=8,AK157,IF(INPUT!$J26=9,AP157,"-")))))))))</f>
        <v>#VALUE!</v>
      </c>
      <c r="M157" s="345" t="e">
        <f>IF(B157&lt;0.48427,-1.8218*(20*LOG10(INPUT!$M26))*B157^3+4.589*(20*LOG10(INPUT!$M26))*B157^2-3.4997*(20*LOG10(INPUT!$M26))*B157+0.8255*(20*LOG10(INPUT!$M26)),0)</f>
        <v>#VALUE!</v>
      </c>
      <c r="N157" s="346" t="e">
        <f>IF(C157&lt;0.48427,-1.8218*(20*LOG10(INPUT!$M26))*C157^3+4.589*(20*LOG10(INPUT!$M26))*C157^2-3.4997*(20*LOG10(INPUT!$M26))*C157+0.8255*(20*LOG10(INPUT!$M26)),0)</f>
        <v>#VALUE!</v>
      </c>
      <c r="O157" s="346" t="e">
        <f>IF(D157&lt;0.48427,-1.8218*(20*LOG10(INPUT!$M26))*D157^3+4.589*(20*LOG10(INPUT!$M26))*D157^2-3.4997*(20*LOG10(INPUT!$M26))*D157+0.8255*(20*LOG10(INPUT!$M26)),0)</f>
        <v>#VALUE!</v>
      </c>
      <c r="P157" s="346" t="e">
        <f>IF(E157&lt;0.48427,-1.8218*(20*LOG10(INPUT!$M26))*E157^3+4.589*(20*LOG10(INPUT!$M26))*E157^2-3.4997*(20*LOG10(INPUT!$M26))*E157+0.8255*(20*LOG10(INPUT!$M26)),0)</f>
        <v>#VALUE!</v>
      </c>
      <c r="Q157" s="347" t="e">
        <f>IF(F157&lt;0.48427,-1.8218*(20*LOG10(INPUT!$M26))*F157^3+4.589*(20*LOG10(INPUT!$M26))*F157^2-3.4997*(20*LOG10(INPUT!$M26))*F157+0.8255*(20*LOG10(INPUT!$M26)),0)</f>
        <v>#VALUE!</v>
      </c>
      <c r="R157" s="345" t="e">
        <f t="shared" ref="R157:V161" si="13">IF(B157&lt;0.338,-65.23*B157^3+126.07*B157^2-74.304*B157+13.226,0)</f>
        <v>#VALUE!</v>
      </c>
      <c r="S157" s="346" t="e">
        <f t="shared" si="13"/>
        <v>#VALUE!</v>
      </c>
      <c r="T157" s="346" t="e">
        <f t="shared" si="13"/>
        <v>#VALUE!</v>
      </c>
      <c r="U157" s="346" t="e">
        <f t="shared" si="13"/>
        <v>#VALUE!</v>
      </c>
      <c r="V157" s="347" t="e">
        <f t="shared" si="13"/>
        <v>#VALUE!</v>
      </c>
      <c r="W157" s="345" t="e">
        <f t="shared" ref="W157:AA161" si="14">IF(B157&lt;0.315,-39.535*B157^3+78.148*B157^2-45.219*B157+7.7211,0)</f>
        <v>#VALUE!</v>
      </c>
      <c r="X157" s="346" t="e">
        <f t="shared" si="14"/>
        <v>#VALUE!</v>
      </c>
      <c r="Y157" s="346" t="e">
        <f t="shared" si="14"/>
        <v>#VALUE!</v>
      </c>
      <c r="Z157" s="346" t="e">
        <f t="shared" si="14"/>
        <v>#VALUE!</v>
      </c>
      <c r="AA157" s="347" t="e">
        <f t="shared" si="14"/>
        <v>#VALUE!</v>
      </c>
      <c r="AB157" s="345" t="e">
        <f t="shared" ref="AB157:AF161" si="15">IF(B157&lt;0.422,-41.319*B157^3+96.119*B157^2-68.948*B157+15.082,0)</f>
        <v>#VALUE!</v>
      </c>
      <c r="AC157" s="346" t="e">
        <f t="shared" si="15"/>
        <v>#VALUE!</v>
      </c>
      <c r="AD157" s="346" t="e">
        <f t="shared" si="15"/>
        <v>#VALUE!</v>
      </c>
      <c r="AE157" s="346" t="e">
        <f t="shared" si="15"/>
        <v>#VALUE!</v>
      </c>
      <c r="AF157" s="347" t="e">
        <f t="shared" si="15"/>
        <v>#VALUE!</v>
      </c>
      <c r="AG157" s="477" t="e">
        <f t="shared" ref="AG157:AK161" si="16">IF($A157&lt;=0.5,15.37-68.86*$A157+98.65*$A157^2-45.36*$A157^3,0)</f>
        <v>#VALUE!</v>
      </c>
      <c r="AH157" s="478" t="e">
        <f t="shared" si="16"/>
        <v>#VALUE!</v>
      </c>
      <c r="AI157" s="478" t="e">
        <f t="shared" si="16"/>
        <v>#VALUE!</v>
      </c>
      <c r="AJ157" s="478" t="e">
        <f t="shared" si="16"/>
        <v>#VALUE!</v>
      </c>
      <c r="AK157" s="479" t="e">
        <f t="shared" si="16"/>
        <v>#VALUE!</v>
      </c>
      <c r="AL157" s="477" t="e">
        <f t="shared" ref="AL157:AP161" si="17">IF($A157&lt;=0.5,10.93-55.86*$A157+92.57*$A157^2-49.72*$A157^3,0)</f>
        <v>#VALUE!</v>
      </c>
      <c r="AM157" s="478" t="e">
        <f t="shared" si="17"/>
        <v>#VALUE!</v>
      </c>
      <c r="AN157" s="478" t="e">
        <f t="shared" si="17"/>
        <v>#VALUE!</v>
      </c>
      <c r="AO157" s="478" t="e">
        <f t="shared" si="17"/>
        <v>#VALUE!</v>
      </c>
      <c r="AP157" s="479" t="e">
        <f t="shared" si="17"/>
        <v>#VALUE!</v>
      </c>
    </row>
    <row r="158" spans="1:42" ht="14.25" customHeight="1" x14ac:dyDescent="0.2">
      <c r="A158" s="345" t="e">
        <f>Calculation!C130</f>
        <v>#VALUE!</v>
      </c>
      <c r="B158" s="345" t="e">
        <f>Calculation!E130</f>
        <v>#VALUE!</v>
      </c>
      <c r="C158" s="346" t="e">
        <f>Calculation!G130</f>
        <v>#VALUE!</v>
      </c>
      <c r="D158" s="346" t="e">
        <f>Calculation!I130</f>
        <v>#VALUE!</v>
      </c>
      <c r="E158" s="346" t="e">
        <f>Calculation!K130</f>
        <v>#VALUE!</v>
      </c>
      <c r="F158" s="347" t="e">
        <f>Calculation!M130</f>
        <v>#VALUE!</v>
      </c>
      <c r="G158" s="341"/>
      <c r="H158" s="403" t="e">
        <f>IF(INPUT!$J27=1,M158,IF(INPUT!$J27=2,M158,IF(INPUT!$J27=3,M158,IF(INPUT!$J27=4,M158,IF(INPUT!$J27=5,R158,IF(INPUT!$J27=7,W158,IF(INPUT!$J27=6,AB158,IF(INPUT!$J27=8,AG158,IF(INPUT!$J27=9,AL158,"-")))))))))</f>
        <v>#VALUE!</v>
      </c>
      <c r="I158" s="404" t="e">
        <f>IF(INPUT!$J27=1,N158,IF(INPUT!$J27=2,N158,IF(INPUT!$J27=3,N158,IF(INPUT!$J27=4,N158,IF(INPUT!$J27=5,S158,IF(INPUT!$J27=7,X158,IF(INPUT!$J27=6,AC158,IF(INPUT!$J27=8,AH158,IF(INPUT!$J27=9,AM158,"-")))))))))</f>
        <v>#VALUE!</v>
      </c>
      <c r="J158" s="404" t="e">
        <f>IF(INPUT!$J27=1,O158,IF(INPUT!$J27=2,O158,IF(INPUT!$J27=3,O158,IF(INPUT!$J27=4,O158,IF(INPUT!$J27=5,T158,IF(INPUT!$J27=7,Y158,IF(INPUT!$J27=6,AD158,IF(INPUT!$J27=8,AI158,IF(INPUT!$J27=9,AN158,"-")))))))))</f>
        <v>#VALUE!</v>
      </c>
      <c r="K158" s="404" t="e">
        <f>IF(INPUT!$J27=1,P158,IF(INPUT!$J27=2,P158,IF(INPUT!$J27=3,P158,IF(INPUT!$J27=4,P158,IF(INPUT!$J27=5,U158,IF(INPUT!$J27=7,Z158,IF(INPUT!$J27=6,AE158,IF(INPUT!$J27=8,AJ158,IF(INPUT!$J27=9,AO158,"-")))))))))</f>
        <v>#VALUE!</v>
      </c>
      <c r="L158" s="405" t="e">
        <f>IF(INPUT!$J27=1,Q158,IF(INPUT!$J27=2,Q158,IF(INPUT!$J27=3,Q158,IF(INPUT!$J27=4,Q158,IF(INPUT!$J27=5,V158,IF(INPUT!$J27=7,AA158,IF(INPUT!$J27=6,AF158,IF(INPUT!$J27=8,AK158,IF(INPUT!$J27=9,AP158,"-")))))))))</f>
        <v>#VALUE!</v>
      </c>
      <c r="M158" s="345" t="e">
        <f>IF(B158&lt;0.48427,-1.8218*(20*LOG10(INPUT!$M27))*B158^3+4.589*(20*LOG10(INPUT!$M27))*B158^2-3.4997*(20*LOG10(INPUT!$M27))*B158+0.8255*(20*LOG10(INPUT!$M27)),0)</f>
        <v>#VALUE!</v>
      </c>
      <c r="N158" s="346" t="e">
        <f>IF(C158&lt;0.48427,-1.8218*(20*LOG10(INPUT!$M27))*C158^3+4.589*(20*LOG10(INPUT!$M27))*C158^2-3.4997*(20*LOG10(INPUT!$M27))*C158+0.8255*(20*LOG10(INPUT!$M27)),0)</f>
        <v>#VALUE!</v>
      </c>
      <c r="O158" s="346" t="e">
        <f>IF(D158&lt;0.48427,-1.8218*(20*LOG10(INPUT!$M27))*D158^3+4.589*(20*LOG10(INPUT!$M27))*D158^2-3.4997*(20*LOG10(INPUT!$M27))*D158+0.8255*(20*LOG10(INPUT!$M27)),0)</f>
        <v>#VALUE!</v>
      </c>
      <c r="P158" s="346" t="e">
        <f>IF(E158&lt;0.48427,-1.8218*(20*LOG10(INPUT!$M27))*E158^3+4.589*(20*LOG10(INPUT!$M27))*E158^2-3.4997*(20*LOG10(INPUT!$M27))*E158+0.8255*(20*LOG10(INPUT!$M27)),0)</f>
        <v>#VALUE!</v>
      </c>
      <c r="Q158" s="347" t="e">
        <f>IF(F158&lt;0.48427,-1.8218*(20*LOG10(INPUT!$M27))*F158^3+4.589*(20*LOG10(INPUT!$M27))*F158^2-3.4997*(20*LOG10(INPUT!$M27))*F158+0.8255*(20*LOG10(INPUT!$M27)),0)</f>
        <v>#VALUE!</v>
      </c>
      <c r="R158" s="345" t="e">
        <f t="shared" si="13"/>
        <v>#VALUE!</v>
      </c>
      <c r="S158" s="346" t="e">
        <f t="shared" si="13"/>
        <v>#VALUE!</v>
      </c>
      <c r="T158" s="346" t="e">
        <f t="shared" si="13"/>
        <v>#VALUE!</v>
      </c>
      <c r="U158" s="346" t="e">
        <f t="shared" si="13"/>
        <v>#VALUE!</v>
      </c>
      <c r="V158" s="347" t="e">
        <f t="shared" si="13"/>
        <v>#VALUE!</v>
      </c>
      <c r="W158" s="345" t="e">
        <f t="shared" si="14"/>
        <v>#VALUE!</v>
      </c>
      <c r="X158" s="346" t="e">
        <f t="shared" si="14"/>
        <v>#VALUE!</v>
      </c>
      <c r="Y158" s="346" t="e">
        <f t="shared" si="14"/>
        <v>#VALUE!</v>
      </c>
      <c r="Z158" s="346" t="e">
        <f t="shared" si="14"/>
        <v>#VALUE!</v>
      </c>
      <c r="AA158" s="347" t="e">
        <f t="shared" si="14"/>
        <v>#VALUE!</v>
      </c>
      <c r="AB158" s="345" t="e">
        <f t="shared" si="15"/>
        <v>#VALUE!</v>
      </c>
      <c r="AC158" s="346" t="e">
        <f t="shared" si="15"/>
        <v>#VALUE!</v>
      </c>
      <c r="AD158" s="346" t="e">
        <f t="shared" si="15"/>
        <v>#VALUE!</v>
      </c>
      <c r="AE158" s="346" t="e">
        <f t="shared" si="15"/>
        <v>#VALUE!</v>
      </c>
      <c r="AF158" s="347" t="e">
        <f t="shared" si="15"/>
        <v>#VALUE!</v>
      </c>
      <c r="AG158" s="477" t="e">
        <f t="shared" si="16"/>
        <v>#VALUE!</v>
      </c>
      <c r="AH158" s="478" t="e">
        <f t="shared" si="16"/>
        <v>#VALUE!</v>
      </c>
      <c r="AI158" s="478" t="e">
        <f t="shared" si="16"/>
        <v>#VALUE!</v>
      </c>
      <c r="AJ158" s="478" t="e">
        <f t="shared" si="16"/>
        <v>#VALUE!</v>
      </c>
      <c r="AK158" s="479" t="e">
        <f t="shared" si="16"/>
        <v>#VALUE!</v>
      </c>
      <c r="AL158" s="477" t="e">
        <f t="shared" si="17"/>
        <v>#VALUE!</v>
      </c>
      <c r="AM158" s="478" t="e">
        <f t="shared" si="17"/>
        <v>#VALUE!</v>
      </c>
      <c r="AN158" s="478" t="e">
        <f t="shared" si="17"/>
        <v>#VALUE!</v>
      </c>
      <c r="AO158" s="478" t="e">
        <f t="shared" si="17"/>
        <v>#VALUE!</v>
      </c>
      <c r="AP158" s="479" t="e">
        <f t="shared" si="17"/>
        <v>#VALUE!</v>
      </c>
    </row>
    <row r="159" spans="1:42" ht="14.25" customHeight="1" x14ac:dyDescent="0.2">
      <c r="A159" s="345">
        <f>Calculation!C131</f>
        <v>0.34116919545161245</v>
      </c>
      <c r="B159" s="345">
        <f>Calculation!E131</f>
        <v>0.38296147209037451</v>
      </c>
      <c r="C159" s="346">
        <f>Calculation!G131</f>
        <v>0.54158930769657321</v>
      </c>
      <c r="D159" s="346">
        <f>Calculation!I131</f>
        <v>0.76287751285871763</v>
      </c>
      <c r="E159" s="346">
        <f>Calculation!K131</f>
        <v>1.0788717251142534</v>
      </c>
      <c r="F159" s="347">
        <f>Calculation!M131</f>
        <v>1.5257550257174353</v>
      </c>
      <c r="G159" s="341"/>
      <c r="H159" s="403">
        <f>IF(INPUT!$J28=1,M159,IF(INPUT!$J28=2,M159,IF(INPUT!$J28=3,M159,IF(INPUT!$J28=4,M159,IF(INPUT!$J28=5,R159,IF(INPUT!$J28=7,W159,IF(INPUT!$J28=6,AB159,IF(INPUT!$J28=8,AG159,IF(INPUT!$J28=9,AL159,"-")))))))))</f>
        <v>0.60879968414761265</v>
      </c>
      <c r="I159" s="404">
        <f>IF(INPUT!$J28=1,N159,IF(INPUT!$J28=2,N159,IF(INPUT!$J28=3,N159,IF(INPUT!$J28=4,N159,IF(INPUT!$J28=5,S159,IF(INPUT!$J28=7,X159,IF(INPUT!$J28=6,AC159,IF(INPUT!$J28=8,AH159,IF(INPUT!$J28=9,AM159,"-")))))))))</f>
        <v>0</v>
      </c>
      <c r="J159" s="404">
        <f>IF(INPUT!$J28=1,O159,IF(INPUT!$J28=2,O159,IF(INPUT!$J28=3,O159,IF(INPUT!$J28=4,O159,IF(INPUT!$J28=5,T159,IF(INPUT!$J28=7,Y159,IF(INPUT!$J28=6,AD159,IF(INPUT!$J28=8,AI159,IF(INPUT!$J28=9,AN159,"-")))))))))</f>
        <v>0</v>
      </c>
      <c r="K159" s="404">
        <f>IF(INPUT!$J28=1,P159,IF(INPUT!$J28=2,P159,IF(INPUT!$J28=3,P159,IF(INPUT!$J28=4,P159,IF(INPUT!$J28=5,U159,IF(INPUT!$J28=7,Z159,IF(INPUT!$J28=6,AE159,IF(INPUT!$J28=8,AJ159,IF(INPUT!$J28=9,AO159,"-")))))))))</f>
        <v>0</v>
      </c>
      <c r="L159" s="405">
        <f>IF(INPUT!$J28=1,Q159,IF(INPUT!$J28=2,Q159,IF(INPUT!$J28=3,Q159,IF(INPUT!$J28=4,Q159,IF(INPUT!$J28=5,V159,IF(INPUT!$J28=7,AA159,IF(INPUT!$J28=6,AF159,IF(INPUT!$J28=8,AK159,IF(INPUT!$J28=9,AP159,"-")))))))))</f>
        <v>0</v>
      </c>
      <c r="M159" s="345">
        <f>IF(B159&lt;0.48427,-1.8218*(20*LOG10(INPUT!$M28))*B159^3+4.589*(20*LOG10(INPUT!$M28))*B159^2-3.4997*(20*LOG10(INPUT!$M28))*B159+0.8255*(20*LOG10(INPUT!$M28)),0)</f>
        <v>0.60879968414761265</v>
      </c>
      <c r="N159" s="346">
        <f>IF(C159&lt;0.48427,-1.8218*(20*LOG10(INPUT!$M28))*C159^3+4.589*(20*LOG10(INPUT!$M28))*C159^2-3.4997*(20*LOG10(INPUT!$M28))*C159+0.8255*(20*LOG10(INPUT!$M28)),0)</f>
        <v>0</v>
      </c>
      <c r="O159" s="346">
        <f>IF(D159&lt;0.48427,-1.8218*(20*LOG10(INPUT!$M28))*D159^3+4.589*(20*LOG10(INPUT!$M28))*D159^2-3.4997*(20*LOG10(INPUT!$M28))*D159+0.8255*(20*LOG10(INPUT!$M28)),0)</f>
        <v>0</v>
      </c>
      <c r="P159" s="346">
        <f>IF(E159&lt;0.48427,-1.8218*(20*LOG10(INPUT!$M28))*E159^3+4.589*(20*LOG10(INPUT!$M28))*E159^2-3.4997*(20*LOG10(INPUT!$M28))*E159+0.8255*(20*LOG10(INPUT!$M28)),0)</f>
        <v>0</v>
      </c>
      <c r="Q159" s="347">
        <f>IF(F159&lt;0.48427,-1.8218*(20*LOG10(INPUT!$M28))*F159^3+4.589*(20*LOG10(INPUT!$M28))*F159^2-3.4997*(20*LOG10(INPUT!$M28))*F159+0.8255*(20*LOG10(INPUT!$M28)),0)</f>
        <v>0</v>
      </c>
      <c r="R159" s="345">
        <f t="shared" si="13"/>
        <v>0</v>
      </c>
      <c r="S159" s="346">
        <f t="shared" si="13"/>
        <v>0</v>
      </c>
      <c r="T159" s="346">
        <f t="shared" si="13"/>
        <v>0</v>
      </c>
      <c r="U159" s="346">
        <f t="shared" si="13"/>
        <v>0</v>
      </c>
      <c r="V159" s="347">
        <f t="shared" si="13"/>
        <v>0</v>
      </c>
      <c r="W159" s="345">
        <f t="shared" si="14"/>
        <v>0</v>
      </c>
      <c r="X159" s="346">
        <f t="shared" si="14"/>
        <v>0</v>
      </c>
      <c r="Y159" s="346">
        <f t="shared" si="14"/>
        <v>0</v>
      </c>
      <c r="Z159" s="346">
        <f t="shared" si="14"/>
        <v>0</v>
      </c>
      <c r="AA159" s="347">
        <f t="shared" si="14"/>
        <v>0</v>
      </c>
      <c r="AB159" s="345">
        <f t="shared" si="15"/>
        <v>0.45365695415994978</v>
      </c>
      <c r="AC159" s="346">
        <f t="shared" si="15"/>
        <v>0</v>
      </c>
      <c r="AD159" s="346">
        <f t="shared" si="15"/>
        <v>0</v>
      </c>
      <c r="AE159" s="346">
        <f t="shared" si="15"/>
        <v>0</v>
      </c>
      <c r="AF159" s="347">
        <f t="shared" si="15"/>
        <v>0</v>
      </c>
      <c r="AG159" s="477">
        <f t="shared" si="16"/>
        <v>1.5583108302867343</v>
      </c>
      <c r="AH159" s="478">
        <f t="shared" si="16"/>
        <v>1.5583108302867343</v>
      </c>
      <c r="AI159" s="478">
        <f t="shared" si="16"/>
        <v>1.5583108302867343</v>
      </c>
      <c r="AJ159" s="478">
        <f t="shared" si="16"/>
        <v>1.5583108302867343</v>
      </c>
      <c r="AK159" s="479">
        <f t="shared" si="16"/>
        <v>1.5583108302867343</v>
      </c>
      <c r="AL159" s="477">
        <f t="shared" si="17"/>
        <v>0.67268073199775746</v>
      </c>
      <c r="AM159" s="478">
        <f t="shared" si="17"/>
        <v>0.67268073199775746</v>
      </c>
      <c r="AN159" s="478">
        <f t="shared" si="17"/>
        <v>0.67268073199775746</v>
      </c>
      <c r="AO159" s="478">
        <f t="shared" si="17"/>
        <v>0.67268073199775746</v>
      </c>
      <c r="AP159" s="479">
        <f t="shared" si="17"/>
        <v>0.67268073199775746</v>
      </c>
    </row>
    <row r="160" spans="1:42" ht="14.25" customHeight="1" x14ac:dyDescent="0.2">
      <c r="A160" s="345">
        <f>Calculation!C132</f>
        <v>0.6823383909032249</v>
      </c>
      <c r="B160" s="345">
        <f>Calculation!E132</f>
        <v>0.76592294418074902</v>
      </c>
      <c r="C160" s="346">
        <f>Calculation!G132</f>
        <v>1.0831786153931464</v>
      </c>
      <c r="D160" s="346">
        <f>Calculation!I132</f>
        <v>1.5257550257174353</v>
      </c>
      <c r="E160" s="346">
        <f>Calculation!K132</f>
        <v>2.1577434502285069</v>
      </c>
      <c r="F160" s="347">
        <f>Calculation!M132</f>
        <v>3.0515100514348705</v>
      </c>
      <c r="G160" s="341"/>
      <c r="H160" s="403">
        <f>IF(INPUT!$J29=1,M160,IF(INPUT!$J29=2,M160,IF(INPUT!$J29=3,M160,IF(INPUT!$J29=4,M160,IF(INPUT!$J29=5,R160,IF(INPUT!$J29=7,W160,IF(INPUT!$J29=6,AB160,IF(INPUT!$J29=8,AG160,IF(INPUT!$J29=9,AL160,"-")))))))))</f>
        <v>0</v>
      </c>
      <c r="I160" s="404">
        <f>IF(INPUT!$J29=1,N160,IF(INPUT!$J29=2,N160,IF(INPUT!$J29=3,N160,IF(INPUT!$J29=4,N160,IF(INPUT!$J29=5,S160,IF(INPUT!$J29=7,X160,IF(INPUT!$J29=6,AC160,IF(INPUT!$J29=8,AH160,IF(INPUT!$J29=9,AM160,"-")))))))))</f>
        <v>0</v>
      </c>
      <c r="J160" s="404">
        <f>IF(INPUT!$J29=1,O160,IF(INPUT!$J29=2,O160,IF(INPUT!$J29=3,O160,IF(INPUT!$J29=4,O160,IF(INPUT!$J29=5,T160,IF(INPUT!$J29=7,Y160,IF(INPUT!$J29=6,AD160,IF(INPUT!$J29=8,AI160,IF(INPUT!$J29=9,AN160,"-")))))))))</f>
        <v>0</v>
      </c>
      <c r="K160" s="404">
        <f>IF(INPUT!$J29=1,P160,IF(INPUT!$J29=2,P160,IF(INPUT!$J29=3,P160,IF(INPUT!$J29=4,P160,IF(INPUT!$J29=5,U160,IF(INPUT!$J29=7,Z160,IF(INPUT!$J29=6,AE160,IF(INPUT!$J29=8,AJ160,IF(INPUT!$J29=9,AO160,"-")))))))))</f>
        <v>0</v>
      </c>
      <c r="L160" s="405">
        <f>IF(INPUT!$J29=1,Q160,IF(INPUT!$J29=2,Q160,IF(INPUT!$J29=3,Q160,IF(INPUT!$J29=4,Q160,IF(INPUT!$J29=5,V160,IF(INPUT!$J29=7,AA160,IF(INPUT!$J29=6,AF160,IF(INPUT!$J29=8,AK160,IF(INPUT!$J29=9,AP160,"-")))))))))</f>
        <v>0</v>
      </c>
      <c r="M160" s="345">
        <f>IF(B160&lt;0.48427,-1.8218*(20*LOG10(INPUT!$M29))*B160^3+4.589*(20*LOG10(INPUT!$M29))*B160^2-3.4997*(20*LOG10(INPUT!$M29))*B160+0.8255*(20*LOG10(INPUT!$M29)),0)</f>
        <v>0</v>
      </c>
      <c r="N160" s="346">
        <f>IF(C160&lt;0.48427,-1.8218*(20*LOG10(INPUT!$M29))*C160^3+4.589*(20*LOG10(INPUT!$M29))*C160^2-3.4997*(20*LOG10(INPUT!$M29))*C160+0.8255*(20*LOG10(INPUT!$M29)),0)</f>
        <v>0</v>
      </c>
      <c r="O160" s="346">
        <f>IF(D160&lt;0.48427,-1.8218*(20*LOG10(INPUT!$M29))*D160^3+4.589*(20*LOG10(INPUT!$M29))*D160^2-3.4997*(20*LOG10(INPUT!$M29))*D160+0.8255*(20*LOG10(INPUT!$M29)),0)</f>
        <v>0</v>
      </c>
      <c r="P160" s="346">
        <f>IF(E160&lt;0.48427,-1.8218*(20*LOG10(INPUT!$M29))*E160^3+4.589*(20*LOG10(INPUT!$M29))*E160^2-3.4997*(20*LOG10(INPUT!$M29))*E160+0.8255*(20*LOG10(INPUT!$M29)),0)</f>
        <v>0</v>
      </c>
      <c r="Q160" s="347">
        <f>IF(F160&lt;0.48427,-1.8218*(20*LOG10(INPUT!$M29))*F160^3+4.589*(20*LOG10(INPUT!$M29))*F160^2-3.4997*(20*LOG10(INPUT!$M29))*F160+0.8255*(20*LOG10(INPUT!$M29)),0)</f>
        <v>0</v>
      </c>
      <c r="R160" s="345">
        <f t="shared" si="13"/>
        <v>0</v>
      </c>
      <c r="S160" s="346">
        <f t="shared" si="13"/>
        <v>0</v>
      </c>
      <c r="T160" s="346">
        <f t="shared" si="13"/>
        <v>0</v>
      </c>
      <c r="U160" s="346">
        <f t="shared" si="13"/>
        <v>0</v>
      </c>
      <c r="V160" s="347">
        <f t="shared" si="13"/>
        <v>0</v>
      </c>
      <c r="W160" s="345">
        <f t="shared" si="14"/>
        <v>0</v>
      </c>
      <c r="X160" s="346">
        <f t="shared" si="14"/>
        <v>0</v>
      </c>
      <c r="Y160" s="346">
        <f t="shared" si="14"/>
        <v>0</v>
      </c>
      <c r="Z160" s="346">
        <f t="shared" si="14"/>
        <v>0</v>
      </c>
      <c r="AA160" s="347">
        <f t="shared" si="14"/>
        <v>0</v>
      </c>
      <c r="AB160" s="345">
        <f t="shared" si="15"/>
        <v>0</v>
      </c>
      <c r="AC160" s="346">
        <f t="shared" si="15"/>
        <v>0</v>
      </c>
      <c r="AD160" s="346">
        <f t="shared" si="15"/>
        <v>0</v>
      </c>
      <c r="AE160" s="346">
        <f t="shared" si="15"/>
        <v>0</v>
      </c>
      <c r="AF160" s="347">
        <f t="shared" si="15"/>
        <v>0</v>
      </c>
      <c r="AG160" s="477">
        <f t="shared" si="16"/>
        <v>0</v>
      </c>
      <c r="AH160" s="478">
        <f t="shared" si="16"/>
        <v>0</v>
      </c>
      <c r="AI160" s="478">
        <f t="shared" si="16"/>
        <v>0</v>
      </c>
      <c r="AJ160" s="478">
        <f t="shared" si="16"/>
        <v>0</v>
      </c>
      <c r="AK160" s="479">
        <f t="shared" si="16"/>
        <v>0</v>
      </c>
      <c r="AL160" s="477">
        <f t="shared" si="17"/>
        <v>0</v>
      </c>
      <c r="AM160" s="478">
        <f t="shared" si="17"/>
        <v>0</v>
      </c>
      <c r="AN160" s="478">
        <f t="shared" si="17"/>
        <v>0</v>
      </c>
      <c r="AO160" s="478">
        <f t="shared" si="17"/>
        <v>0</v>
      </c>
      <c r="AP160" s="479">
        <f t="shared" si="17"/>
        <v>0</v>
      </c>
    </row>
    <row r="161" spans="1:42" ht="14.25" customHeight="1" thickBot="1" x14ac:dyDescent="0.25">
      <c r="A161" s="348">
        <f>Calculation!C133</f>
        <v>0.6823383909032249</v>
      </c>
      <c r="B161" s="348">
        <f>Calculation!E133</f>
        <v>0.76592294418074902</v>
      </c>
      <c r="C161" s="349">
        <f>Calculation!G133</f>
        <v>1.0831786153931464</v>
      </c>
      <c r="D161" s="349">
        <f>Calculation!I133</f>
        <v>1.5257550257174353</v>
      </c>
      <c r="E161" s="349">
        <f>Calculation!K133</f>
        <v>2.1577434502285069</v>
      </c>
      <c r="F161" s="350">
        <f>Calculation!M133</f>
        <v>3.0515100514348705</v>
      </c>
      <c r="G161" s="341"/>
      <c r="H161" s="406">
        <f>IF(INPUT!$J30=1,M161,IF(INPUT!$J30=2,M161,IF(INPUT!$J30=3,M161,IF(INPUT!$J30=4,M161,IF(INPUT!$J30=5,R161,IF(INPUT!$J30=7,W161,IF(INPUT!$J30=6,AB161,IF(INPUT!$J30=8,AG161,IF(INPUT!$J30=9,AL161,"-")))))))))</f>
        <v>0</v>
      </c>
      <c r="I161" s="407">
        <f>IF(INPUT!$J30=1,N161,IF(INPUT!$J30=2,N161,IF(INPUT!$J30=3,N161,IF(INPUT!$J30=4,N161,IF(INPUT!$J30=5,S161,IF(INPUT!$J30=7,X161,IF(INPUT!$J30=6,AC161,IF(INPUT!$J30=8,AH161,IF(INPUT!$J30=9,AM161,"-")))))))))</f>
        <v>0</v>
      </c>
      <c r="J161" s="407">
        <f>IF(INPUT!$J30=1,O161,IF(INPUT!$J30=2,O161,IF(INPUT!$J30=3,O161,IF(INPUT!$J30=4,O161,IF(INPUT!$J30=5,T161,IF(INPUT!$J30=7,Y161,IF(INPUT!$J30=6,AD161,IF(INPUT!$J30=8,AI161,IF(INPUT!$J30=9,AN161,"-")))))))))</f>
        <v>0</v>
      </c>
      <c r="K161" s="407">
        <f>IF(INPUT!$J30=1,P161,IF(INPUT!$J30=2,P161,IF(INPUT!$J30=3,P161,IF(INPUT!$J30=4,P161,IF(INPUT!$J30=5,U161,IF(INPUT!$J30=7,Z161,IF(INPUT!$J30=6,AE161,IF(INPUT!$J30=8,AJ161,IF(INPUT!$J30=9,AO161,"-")))))))))</f>
        <v>0</v>
      </c>
      <c r="L161" s="408">
        <f>IF(INPUT!$J30=1,Q161,IF(INPUT!$J30=2,Q161,IF(INPUT!$J30=3,Q161,IF(INPUT!$J30=4,Q161,IF(INPUT!$J30=5,V161,IF(INPUT!$J30=7,AA161,IF(INPUT!$J30=6,AF161,IF(INPUT!$J30=8,AK161,IF(INPUT!$J30=9,AP161,"-")))))))))</f>
        <v>0</v>
      </c>
      <c r="M161" s="348">
        <f>IF(B161&lt;0.48427,-1.8218*(20*LOG10(INPUT!$M30))*B161^3+4.589*(20*LOG10(INPUT!$M30))*B161^2-3.4997*(20*LOG10(INPUT!$M30))*B161+0.8255*(20*LOG10(INPUT!$M30)),0)</f>
        <v>0</v>
      </c>
      <c r="N161" s="349">
        <f>IF(C161&lt;0.48427,-1.8218*(20*LOG10(INPUT!$M30))*C161^3+4.589*(20*LOG10(INPUT!$M30))*C161^2-3.4997*(20*LOG10(INPUT!$M30))*C161+0.8255*(20*LOG10(INPUT!$M30)),0)</f>
        <v>0</v>
      </c>
      <c r="O161" s="349">
        <f>IF(D161&lt;0.48427,-1.8218*(20*LOG10(INPUT!$M30))*D161^3+4.589*(20*LOG10(INPUT!$M30))*D161^2-3.4997*(20*LOG10(INPUT!$M30))*D161+0.8255*(20*LOG10(INPUT!$M30)),0)</f>
        <v>0</v>
      </c>
      <c r="P161" s="349">
        <f>IF(E161&lt;0.48427,-1.8218*(20*LOG10(INPUT!$M30))*E161^3+4.589*(20*LOG10(INPUT!$M30))*E161^2-3.4997*(20*LOG10(INPUT!$M30))*E161+0.8255*(20*LOG10(INPUT!$M30)),0)</f>
        <v>0</v>
      </c>
      <c r="Q161" s="350">
        <f>IF(F161&lt;0.48427,-1.8218*(20*LOG10(INPUT!$M30))*F161^3+4.589*(20*LOG10(INPUT!$M30))*F161^2-3.4997*(20*LOG10(INPUT!$M30))*F161+0.8255*(20*LOG10(INPUT!$M30)),0)</f>
        <v>0</v>
      </c>
      <c r="R161" s="348">
        <f t="shared" si="13"/>
        <v>0</v>
      </c>
      <c r="S161" s="349">
        <f t="shared" si="13"/>
        <v>0</v>
      </c>
      <c r="T161" s="349">
        <f t="shared" si="13"/>
        <v>0</v>
      </c>
      <c r="U161" s="349">
        <f t="shared" si="13"/>
        <v>0</v>
      </c>
      <c r="V161" s="350">
        <f t="shared" si="13"/>
        <v>0</v>
      </c>
      <c r="W161" s="348">
        <f t="shared" si="14"/>
        <v>0</v>
      </c>
      <c r="X161" s="349">
        <f t="shared" si="14"/>
        <v>0</v>
      </c>
      <c r="Y161" s="349">
        <f t="shared" si="14"/>
        <v>0</v>
      </c>
      <c r="Z161" s="349">
        <f t="shared" si="14"/>
        <v>0</v>
      </c>
      <c r="AA161" s="350">
        <f t="shared" si="14"/>
        <v>0</v>
      </c>
      <c r="AB161" s="348">
        <f t="shared" si="15"/>
        <v>0</v>
      </c>
      <c r="AC161" s="349">
        <f t="shared" si="15"/>
        <v>0</v>
      </c>
      <c r="AD161" s="349">
        <f t="shared" si="15"/>
        <v>0</v>
      </c>
      <c r="AE161" s="349">
        <f t="shared" si="15"/>
        <v>0</v>
      </c>
      <c r="AF161" s="350">
        <f t="shared" si="15"/>
        <v>0</v>
      </c>
      <c r="AG161" s="480">
        <f t="shared" si="16"/>
        <v>0</v>
      </c>
      <c r="AH161" s="481">
        <f t="shared" si="16"/>
        <v>0</v>
      </c>
      <c r="AI161" s="481">
        <f t="shared" si="16"/>
        <v>0</v>
      </c>
      <c r="AJ161" s="481">
        <f t="shared" si="16"/>
        <v>0</v>
      </c>
      <c r="AK161" s="482">
        <f t="shared" si="16"/>
        <v>0</v>
      </c>
      <c r="AL161" s="480">
        <f t="shared" si="17"/>
        <v>0</v>
      </c>
      <c r="AM161" s="481">
        <f t="shared" si="17"/>
        <v>0</v>
      </c>
      <c r="AN161" s="481">
        <f t="shared" si="17"/>
        <v>0</v>
      </c>
      <c r="AO161" s="481">
        <f t="shared" si="17"/>
        <v>0</v>
      </c>
      <c r="AP161" s="482">
        <f t="shared" si="17"/>
        <v>0</v>
      </c>
    </row>
    <row r="162" spans="1:42" ht="14.25" customHeight="1" x14ac:dyDescent="0.2">
      <c r="A162" s="376"/>
      <c r="B162" s="3"/>
      <c r="C162" s="3"/>
      <c r="D162" s="3"/>
      <c r="E162" s="3"/>
      <c r="F162" s="3"/>
      <c r="G162" s="3"/>
      <c r="H162" s="371" t="s">
        <v>508</v>
      </c>
      <c r="I162" s="369"/>
      <c r="J162" s="369"/>
      <c r="K162" s="369"/>
      <c r="L162" s="370"/>
      <c r="M162" s="5"/>
      <c r="N162" s="5"/>
      <c r="O162" s="5"/>
      <c r="P162" s="5"/>
      <c r="Q162" s="5"/>
      <c r="R162" s="335"/>
      <c r="S162" s="335"/>
      <c r="T162" s="335"/>
      <c r="U162" s="528"/>
      <c r="V162" s="5"/>
      <c r="W162" s="5"/>
      <c r="X162" s="5"/>
      <c r="Y162" s="5"/>
      <c r="Z162" s="5"/>
      <c r="AA162" s="5"/>
      <c r="AB162" s="5"/>
      <c r="AC162" s="5"/>
      <c r="AD162" s="5"/>
      <c r="AE162" s="5"/>
      <c r="AF162" s="5"/>
      <c r="AG162" s="5"/>
      <c r="AH162" s="5"/>
      <c r="AI162" s="5"/>
      <c r="AJ162" s="5"/>
      <c r="AK162" s="5"/>
      <c r="AL162" s="5"/>
      <c r="AM162" s="5"/>
      <c r="AN162" s="5"/>
      <c r="AO162" s="5"/>
      <c r="AP162" s="5"/>
    </row>
    <row r="163" spans="1:42" ht="14.25" customHeight="1" x14ac:dyDescent="0.2">
      <c r="A163" s="376"/>
      <c r="B163" s="5"/>
      <c r="C163" s="5"/>
      <c r="D163" s="5"/>
      <c r="E163" s="5"/>
      <c r="F163" s="5"/>
      <c r="G163" s="5"/>
      <c r="H163" s="359" t="str">
        <f>IF(INPUT!$B26&lt;&gt;"",IF(INPUT!$H26&lt;&gt;"",H151+H157,""),"")</f>
        <v/>
      </c>
      <c r="I163" s="359" t="str">
        <f>IF(INPUT!$B26&lt;&gt;"",IF(INPUT!$H26&lt;&gt;"",I151+I157,""),"")</f>
        <v/>
      </c>
      <c r="J163" s="359" t="str">
        <f>IF(INPUT!$B26&lt;&gt;"",IF(INPUT!$H26&lt;&gt;"",J151+J157,""),"")</f>
        <v/>
      </c>
      <c r="K163" s="359" t="str">
        <f>IF(INPUT!$B26&lt;&gt;"",IF(INPUT!$H26&lt;&gt;"",K151+K157,""),"")</f>
        <v/>
      </c>
      <c r="L163" s="359" t="str">
        <f>IF(INPUT!$B26&lt;&gt;"",IF(INPUT!$H26&lt;&gt;"",L151+L157,""),"")</f>
        <v/>
      </c>
      <c r="M163" s="5"/>
      <c r="N163" s="5"/>
      <c r="O163" s="5"/>
      <c r="P163" s="5"/>
      <c r="Q163" s="5"/>
      <c r="R163" s="335"/>
      <c r="S163" s="335"/>
      <c r="T163" s="335"/>
      <c r="U163" s="376"/>
      <c r="V163" s="4"/>
      <c r="W163" s="414"/>
      <c r="X163" s="3"/>
      <c r="Y163" s="3"/>
      <c r="Z163" s="3"/>
      <c r="AA163" s="3"/>
      <c r="AB163" s="3"/>
      <c r="AC163" s="3"/>
      <c r="AD163" s="3"/>
      <c r="AE163" s="3"/>
      <c r="AF163" s="3"/>
      <c r="AG163" s="5"/>
      <c r="AH163" s="5"/>
      <c r="AI163" s="5"/>
      <c r="AJ163" s="5"/>
      <c r="AK163" s="5"/>
      <c r="AL163" s="5"/>
      <c r="AM163" s="5"/>
      <c r="AN163" s="5"/>
      <c r="AO163" s="5"/>
      <c r="AP163" s="5"/>
    </row>
    <row r="164" spans="1:42" ht="14.25" customHeight="1" x14ac:dyDescent="0.2">
      <c r="A164" s="376"/>
      <c r="B164" s="5"/>
      <c r="C164" s="5"/>
      <c r="D164" s="5"/>
      <c r="E164" s="5"/>
      <c r="F164" s="5"/>
      <c r="G164" s="5"/>
      <c r="H164" s="359" t="str">
        <f>IF(INPUT!$B27&lt;&gt;"",IF(INPUT!$H27&lt;&gt;"",H152+H158,""),"")</f>
        <v/>
      </c>
      <c r="I164" s="359" t="str">
        <f>IF(INPUT!$B27&lt;&gt;"",IF(INPUT!$H27&lt;&gt;"",I152+I158,""),"")</f>
        <v/>
      </c>
      <c r="J164" s="359" t="str">
        <f>IF(INPUT!$B27&lt;&gt;"",IF(INPUT!$H27&lt;&gt;"",J152+J158,""),"")</f>
        <v/>
      </c>
      <c r="K164" s="359" t="str">
        <f>IF(INPUT!$B27&lt;&gt;"",IF(INPUT!$H27&lt;&gt;"",K152+K158,""),"")</f>
        <v/>
      </c>
      <c r="L164" s="359" t="str">
        <f>IF(INPUT!$B27&lt;&gt;"",IF(INPUT!$H27&lt;&gt;"",L152+L158,""),"")</f>
        <v/>
      </c>
      <c r="M164" s="5"/>
      <c r="N164" s="5"/>
      <c r="O164" s="5"/>
      <c r="P164" s="5"/>
      <c r="Q164" s="5"/>
      <c r="R164" s="335"/>
      <c r="S164" s="335"/>
      <c r="T164" s="335"/>
      <c r="U164" s="376"/>
      <c r="V164" s="4"/>
      <c r="W164" s="414"/>
      <c r="X164" s="3"/>
      <c r="Y164" s="3"/>
      <c r="Z164" s="3"/>
      <c r="AA164" s="3"/>
      <c r="AB164" s="3"/>
      <c r="AC164" s="3"/>
      <c r="AD164" s="3"/>
      <c r="AE164" s="3"/>
      <c r="AF164" s="3"/>
      <c r="AG164" s="5"/>
      <c r="AH164" s="5"/>
      <c r="AI164" s="5"/>
      <c r="AJ164" s="5"/>
      <c r="AK164" s="5"/>
      <c r="AL164" s="5"/>
      <c r="AM164" s="5"/>
      <c r="AN164" s="5"/>
      <c r="AO164" s="5"/>
      <c r="AP164" s="5"/>
    </row>
    <row r="165" spans="1:42" ht="14.25" customHeight="1" x14ac:dyDescent="0.2">
      <c r="A165" s="380"/>
      <c r="B165" s="5"/>
      <c r="C165" s="5"/>
      <c r="D165" s="5"/>
      <c r="E165" s="5"/>
      <c r="F165" s="5"/>
      <c r="G165" s="5"/>
      <c r="H165" s="359">
        <f>IF(INPUT!$B28&lt;&gt;"",IF(INPUT!$H28&lt;&gt;"",H153+H159,""),"")</f>
        <v>3.9911598062910505</v>
      </c>
      <c r="I165" s="359">
        <f>IF(INPUT!$B28&lt;&gt;"",IF(INPUT!$H28&lt;&gt;"",I153+I159,""),"")</f>
        <v>1.9383415747557446</v>
      </c>
      <c r="J165" s="359">
        <f>IF(INPUT!$B28&lt;&gt;"",IF(INPUT!$H28&lt;&gt;"",J153+J159,""),"")</f>
        <v>0.62189329785146441</v>
      </c>
      <c r="K165" s="359">
        <f>IF(INPUT!$B28&lt;&gt;"",IF(INPUT!$H28&lt;&gt;"",K153+K159,""),"")</f>
        <v>0</v>
      </c>
      <c r="L165" s="359">
        <f>IF(INPUT!$B28&lt;&gt;"",IF(INPUT!$H28&lt;&gt;"",L153+L159,""),"")</f>
        <v>0</v>
      </c>
      <c r="M165" s="5"/>
      <c r="N165" s="5"/>
      <c r="O165" s="5"/>
      <c r="P165" s="5"/>
      <c r="Q165" s="5"/>
      <c r="R165" s="335"/>
      <c r="S165" s="335"/>
      <c r="T165" s="335"/>
      <c r="U165" s="374"/>
      <c r="V165" s="4"/>
      <c r="W165" s="414"/>
      <c r="X165" s="3"/>
      <c r="Y165" s="3"/>
      <c r="Z165" s="3"/>
      <c r="AA165" s="3"/>
      <c r="AB165" s="3"/>
      <c r="AC165" s="3"/>
      <c r="AD165" s="3"/>
      <c r="AE165" s="3"/>
      <c r="AF165" s="3"/>
      <c r="AG165" s="5"/>
      <c r="AH165" s="5"/>
      <c r="AI165" s="5"/>
      <c r="AJ165" s="5"/>
      <c r="AK165" s="5"/>
      <c r="AL165" s="5"/>
      <c r="AM165" s="5"/>
      <c r="AN165" s="5"/>
      <c r="AO165" s="5"/>
      <c r="AP165" s="5"/>
    </row>
    <row r="166" spans="1:42" ht="14.25" customHeight="1" thickBot="1" x14ac:dyDescent="0.25">
      <c r="A166" s="383"/>
      <c r="B166" s="5"/>
      <c r="C166" s="5"/>
      <c r="D166" s="5"/>
      <c r="E166" s="5"/>
      <c r="F166" s="5"/>
      <c r="G166" s="5"/>
      <c r="H166" s="359">
        <f>IF(INPUT!$B29&lt;&gt;"",IF(INPUT!$H29&lt;&gt;"",H154+H160,""),"")</f>
        <v>5.7769410324338537</v>
      </c>
      <c r="I166" s="359">
        <f>IF(INPUT!$B29&lt;&gt;"",IF(INPUT!$H29&lt;&gt;"",I154+I160,""),"")</f>
        <v>4.6926469489744989</v>
      </c>
      <c r="J166" s="359">
        <f>IF(INPUT!$B29&lt;&gt;"",IF(INPUT!$H29&lt;&gt;"",J154+J160,""),"")</f>
        <v>3.3984768035171005</v>
      </c>
      <c r="K166" s="359">
        <f>IF(INPUT!$B29&lt;&gt;"",IF(INPUT!$H29&lt;&gt;"",K154+K160,""),"")</f>
        <v>1.954960694261219</v>
      </c>
      <c r="L166" s="359">
        <f>IF(INPUT!$B29&lt;&gt;"",IF(INPUT!$H29&lt;&gt;"",L154+L160,""),"")</f>
        <v>0.62189329785146441</v>
      </c>
      <c r="M166" s="5"/>
      <c r="N166" s="5"/>
      <c r="O166" s="5"/>
      <c r="P166" s="5"/>
      <c r="Q166" s="5"/>
      <c r="R166" s="3"/>
      <c r="S166" s="3"/>
      <c r="T166" s="3"/>
      <c r="U166" s="374"/>
      <c r="V166" s="4"/>
      <c r="W166" s="414"/>
      <c r="X166" s="3"/>
      <c r="Y166" s="3"/>
      <c r="Z166" s="3"/>
      <c r="AA166" s="3"/>
      <c r="AB166" s="3"/>
      <c r="AC166" s="3"/>
      <c r="AD166" s="3"/>
      <c r="AE166" s="3"/>
      <c r="AF166" s="3"/>
      <c r="AG166" s="5"/>
      <c r="AH166" s="5"/>
      <c r="AI166" s="5"/>
      <c r="AJ166" s="5"/>
      <c r="AK166" s="5"/>
      <c r="AL166" s="5"/>
      <c r="AM166" s="5"/>
      <c r="AN166" s="5"/>
      <c r="AO166" s="5"/>
      <c r="AP166" s="5"/>
    </row>
    <row r="167" spans="1:42" ht="14.25" customHeight="1" x14ac:dyDescent="0.2">
      <c r="A167" s="5"/>
      <c r="B167" s="5"/>
      <c r="C167" s="5"/>
      <c r="D167" s="5"/>
      <c r="E167" s="5"/>
      <c r="F167" s="5"/>
      <c r="G167" s="5"/>
      <c r="H167" s="359">
        <f>IF(INPUT!$B30&lt;&gt;"",IF(INPUT!$H30&lt;&gt;"",H155+H161,""),"")</f>
        <v>1.6944399248739686</v>
      </c>
      <c r="I167" s="359">
        <f>IF(INPUT!$B30&lt;&gt;"",IF(INPUT!$H30&lt;&gt;"",I155+I161,""),"")</f>
        <v>0.42441392664335353</v>
      </c>
      <c r="J167" s="359">
        <f>IF(INPUT!$B30&lt;&gt;"",IF(INPUT!$H30&lt;&gt;"",J155+J161,""),"")</f>
        <v>0</v>
      </c>
      <c r="K167" s="359">
        <f>IF(INPUT!$B30&lt;&gt;"",IF(INPUT!$H30&lt;&gt;"",K155+K161,""),"")</f>
        <v>0</v>
      </c>
      <c r="L167" s="359">
        <f>IF(INPUT!$B30&lt;&gt;"",IF(INPUT!$H30&lt;&gt;"",L155+L161,""),"")</f>
        <v>0</v>
      </c>
      <c r="M167" s="5"/>
      <c r="N167" s="5"/>
      <c r="O167" s="5"/>
      <c r="P167" s="5"/>
      <c r="Q167" s="5"/>
      <c r="R167" s="3"/>
      <c r="S167" s="3"/>
      <c r="T167" s="5"/>
      <c r="U167" s="4"/>
      <c r="V167" s="4"/>
      <c r="W167" s="4"/>
      <c r="X167" s="5"/>
      <c r="Y167" s="5"/>
      <c r="Z167" s="5"/>
      <c r="AA167" s="5"/>
      <c r="AB167" s="5"/>
      <c r="AC167" s="5"/>
      <c r="AD167" s="5"/>
      <c r="AE167" s="5"/>
      <c r="AF167" s="5"/>
      <c r="AG167" s="5"/>
      <c r="AH167" s="5"/>
      <c r="AI167" s="5"/>
      <c r="AJ167" s="5"/>
      <c r="AK167" s="5"/>
      <c r="AL167" s="5"/>
      <c r="AM167" s="5"/>
      <c r="AN167" s="5"/>
      <c r="AO167" s="5"/>
      <c r="AP167" s="5"/>
    </row>
    <row r="168" spans="1:42" ht="14.25" x14ac:dyDescent="0.2">
      <c r="A168" s="466"/>
      <c r="B168" s="5"/>
      <c r="C168" s="5"/>
      <c r="D168" s="5"/>
      <c r="E168" s="5"/>
      <c r="F168" s="5"/>
      <c r="G168" s="5"/>
      <c r="H168" s="218"/>
      <c r="I168" s="3"/>
      <c r="J168" s="3"/>
      <c r="K168" s="3"/>
      <c r="L168" s="3"/>
      <c r="M168" s="3"/>
      <c r="N168" s="3"/>
      <c r="O168" s="3"/>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row>
    <row r="169" spans="1:42" x14ac:dyDescent="0.2">
      <c r="A169" s="536"/>
      <c r="B169" s="546"/>
      <c r="C169" s="546"/>
      <c r="D169" s="546"/>
      <c r="E169" s="546"/>
      <c r="F169" s="546"/>
      <c r="G169" s="546"/>
      <c r="H169" s="546"/>
      <c r="I169" s="546"/>
      <c r="J169" s="546"/>
      <c r="K169" s="546"/>
      <c r="L169" s="546"/>
      <c r="M169" s="546"/>
      <c r="N169" s="546"/>
      <c r="O169" s="546"/>
      <c r="P169" s="546"/>
      <c r="Q169" s="546"/>
      <c r="R169" s="546"/>
      <c r="S169" s="546"/>
      <c r="T169" s="546"/>
      <c r="U169" s="546"/>
      <c r="V169" s="546"/>
      <c r="W169" s="546"/>
      <c r="X169" s="546"/>
      <c r="Y169" s="546"/>
      <c r="Z169" s="546"/>
      <c r="AA169" s="546"/>
      <c r="AB169" s="186"/>
      <c r="AC169" s="186"/>
      <c r="AD169" s="186"/>
      <c r="AE169" s="186"/>
      <c r="AF169" s="186"/>
    </row>
    <row r="170" spans="1:42" x14ac:dyDescent="0.2">
      <c r="A170" s="536"/>
      <c r="B170" s="211"/>
      <c r="C170" s="211"/>
      <c r="D170" s="211"/>
      <c r="E170" s="211"/>
      <c r="F170" s="211"/>
      <c r="G170" s="211"/>
      <c r="H170" s="211"/>
      <c r="I170" s="211"/>
      <c r="J170" s="211"/>
      <c r="K170" s="211"/>
      <c r="L170" s="211"/>
      <c r="M170" s="211"/>
      <c r="N170" s="211"/>
      <c r="O170" s="211"/>
      <c r="P170" s="211"/>
      <c r="Q170" s="211"/>
      <c r="R170" s="211"/>
      <c r="S170" s="211"/>
      <c r="T170" s="211"/>
      <c r="U170" s="211"/>
      <c r="V170" s="187"/>
      <c r="W170" s="211"/>
      <c r="X170" s="186"/>
      <c r="Y170" s="211"/>
      <c r="Z170" s="186"/>
      <c r="AA170" s="211"/>
      <c r="AB170" s="186"/>
      <c r="AC170" s="211"/>
      <c r="AD170" s="186"/>
      <c r="AE170" s="211"/>
      <c r="AF170" s="186"/>
    </row>
    <row r="171" spans="1:42" ht="12" thickBot="1" x14ac:dyDescent="0.25">
      <c r="A171" s="537"/>
      <c r="B171" s="542"/>
      <c r="C171" s="542"/>
      <c r="D171" s="542"/>
      <c r="E171" s="542"/>
      <c r="F171" s="542"/>
      <c r="G171" s="542"/>
      <c r="H171" s="542"/>
      <c r="I171" s="542"/>
      <c r="J171" s="542"/>
      <c r="K171" s="542"/>
      <c r="L171" s="542"/>
      <c r="M171" s="542"/>
      <c r="N171" s="542"/>
      <c r="O171" s="542"/>
      <c r="P171" s="542"/>
      <c r="Q171" s="542"/>
      <c r="R171" s="542"/>
      <c r="S171" s="542"/>
      <c r="T171" s="542"/>
      <c r="U171" s="542"/>
      <c r="V171" s="534"/>
      <c r="W171" s="542"/>
      <c r="X171" s="538"/>
      <c r="Y171" s="542"/>
      <c r="Z171" s="538"/>
      <c r="AA171" s="542"/>
      <c r="AB171" s="538"/>
      <c r="AC171" s="542"/>
      <c r="AD171" s="538"/>
      <c r="AE171" s="542"/>
      <c r="AF171" s="538"/>
    </row>
    <row r="172" spans="1:42" ht="13.5" thickBot="1" x14ac:dyDescent="0.25">
      <c r="A172" s="1200" t="s">
        <v>414</v>
      </c>
      <c r="B172" s="1226"/>
      <c r="C172" s="1226"/>
      <c r="D172" s="1226"/>
      <c r="E172" s="1226"/>
      <c r="F172" s="1226"/>
      <c r="G172" s="1226"/>
      <c r="H172" s="1226"/>
      <c r="I172" s="1226"/>
      <c r="J172" s="1226"/>
      <c r="K172" s="1226"/>
      <c r="L172" s="1226"/>
      <c r="M172" s="1227"/>
      <c r="U172" s="211"/>
      <c r="V172" s="186"/>
      <c r="W172" s="211"/>
      <c r="X172" s="186"/>
      <c r="Y172" s="211"/>
      <c r="Z172" s="186"/>
    </row>
    <row r="173" spans="1:42" ht="13.5" thickBot="1" x14ac:dyDescent="0.25">
      <c r="A173" s="1143" t="s">
        <v>173</v>
      </c>
      <c r="B173" s="1144"/>
      <c r="C173" s="1144"/>
      <c r="D173" s="1144"/>
      <c r="E173" s="26" t="s">
        <v>85</v>
      </c>
      <c r="F173" s="1141" t="s">
        <v>9</v>
      </c>
      <c r="G173" s="1142"/>
      <c r="H173" s="611">
        <f>INPUT!H21</f>
        <v>72</v>
      </c>
      <c r="I173" s="18" t="s">
        <v>174</v>
      </c>
      <c r="J173" s="1145" t="str">
        <f>INPUT!N21</f>
        <v>大脇・山下式2021</v>
      </c>
      <c r="K173" s="1145"/>
      <c r="L173" s="1145"/>
      <c r="M173" s="1146"/>
      <c r="R173" s="5"/>
      <c r="S173" s="10" t="s">
        <v>509</v>
      </c>
      <c r="T173" s="5"/>
      <c r="U173" s="5" t="str">
        <f>'Result_重量床衝撃音 (31.5Hz)'!F14</f>
        <v>8Hz帯域</v>
      </c>
      <c r="V173" s="5"/>
      <c r="W173" s="5"/>
      <c r="X173" s="5"/>
      <c r="Y173" s="5"/>
      <c r="Z173" s="186"/>
    </row>
    <row r="174" spans="1:42" ht="14.25" x14ac:dyDescent="0.2">
      <c r="A174" s="12" t="s">
        <v>175</v>
      </c>
      <c r="B174" s="597"/>
      <c r="C174" s="597"/>
      <c r="D174" s="597"/>
      <c r="E174" s="597"/>
      <c r="F174" s="597"/>
      <c r="G174" s="597"/>
      <c r="H174" s="597"/>
      <c r="I174" s="597"/>
      <c r="J174" s="597"/>
      <c r="K174" s="597"/>
      <c r="L174" s="597"/>
      <c r="M174" s="598"/>
      <c r="R174" s="5"/>
      <c r="S174" s="357"/>
      <c r="T174" s="343" t="s">
        <v>501</v>
      </c>
      <c r="U174" s="343" t="s">
        <v>502</v>
      </c>
      <c r="V174" s="343" t="s">
        <v>503</v>
      </c>
      <c r="W174" s="343" t="s">
        <v>504</v>
      </c>
      <c r="X174" s="344" t="s">
        <v>505</v>
      </c>
      <c r="Y174" s="468"/>
      <c r="Z174" s="186"/>
    </row>
    <row r="175" spans="1:42" ht="15" thickBot="1" x14ac:dyDescent="0.25">
      <c r="A175" s="1149" t="s">
        <v>54</v>
      </c>
      <c r="B175" s="1113"/>
      <c r="C175" s="626">
        <f>IF(INPUT!C21&lt;=INPUT!C22,INPUT!C21/1000,INPUT!C22/1000)</f>
        <v>8</v>
      </c>
      <c r="D175" s="597" t="s">
        <v>8</v>
      </c>
      <c r="E175" s="1113" t="s">
        <v>176</v>
      </c>
      <c r="F175" s="1113"/>
      <c r="G175" s="1113"/>
      <c r="H175" s="27">
        <f>PI()/4/SQRT(3)*(2.25/(C175^2)+1.4/(C176^2))*SQRT(J88/J87)*(J86/1000)</f>
        <v>11.263276106565064</v>
      </c>
      <c r="I175" s="597" t="s">
        <v>177</v>
      </c>
      <c r="J175" s="627">
        <f>IF(L175&lt;&gt;"",L175,IF(M175&lt;&gt;"",M175,"-"))</f>
        <v>8</v>
      </c>
      <c r="K175" s="597" t="s">
        <v>178</v>
      </c>
      <c r="L175" s="207">
        <f>IF(H175&lt;A179/(2^(1/2)),8,IF(H175&lt;A179/(2^(1/6)),A179,IF(H175&lt;A180/(2^(1/6)),A179,IF(H175&lt;A181/(2^(1/6)),A180,IF(H175&lt;A182/(2^(1/6)),A181,IF(H175&lt;A183/(2^(1/6)),A182,IF(H175&lt;A184/(2^(1/6)),A183,IF(H175&lt;A185/(2^(1/6)),A184,""))))))))</f>
        <v>8</v>
      </c>
      <c r="M175" s="208" t="str">
        <f>IF(L175="",IF(H175&lt;A186/(2^(1/6)),A185,IF(H175&lt;A187/(2^(1/6)),A186,IF(H175&lt;A188/(2^(1/6)),A187,IF(H175&lt;A189/(2^(1/6)),A188,IF(H175&lt;A189*(2^(1/6)),A189,""))))),"")</f>
        <v/>
      </c>
      <c r="R175" s="5"/>
      <c r="S175" s="358" t="s">
        <v>512</v>
      </c>
      <c r="T175" s="355" t="str">
        <f>IF($U$173="16Hz帯域",-6,IF($U$173="31.5Hz帯域",-9,IF($U$173="63Hz帯域",-3,IF($U$173="125Hz帯域",9.5,""))))</f>
        <v/>
      </c>
      <c r="U175" s="355" t="str">
        <f>IF($U$173="16Hz帯域",0,IF($U$173="31.5Hz帯域",-3,IF($U$173="63Hz帯域",-9,IF($U$173="125Hz帯域",3.5,""))))</f>
        <v/>
      </c>
      <c r="V175" s="355" t="str">
        <f>IF($U$173="16Hz帯域",0,IF($U$173="31.5Hz帯域",0,IF($U$173="63Hz帯域",-3,IF($U$173="125Hz帯域",-12,""))))</f>
        <v/>
      </c>
      <c r="W175" s="355" t="str">
        <f>IF($U$173="16Hz帯域",0,IF($U$173="31.5Hz帯域",0,IF($U$173="63Hz帯域",0,IF($U$173="125Hz帯域",-9,""))))</f>
        <v/>
      </c>
      <c r="X175" s="356" t="str">
        <f>IF($U$173="16Hz帯域",0,IF($U$173="31.5Hz帯域",0,IF($U$173="63Hz帯域",0,IF($U$173="125Hz帯域",-6,""))))</f>
        <v/>
      </c>
      <c r="Y175" s="218"/>
      <c r="Z175" s="186"/>
    </row>
    <row r="176" spans="1:42" ht="14.25" x14ac:dyDescent="0.2">
      <c r="A176" s="1140" t="s">
        <v>6</v>
      </c>
      <c r="B176" s="1137"/>
      <c r="C176" s="28">
        <f>IF(INPUT!C22&gt;INPUT!C21,INPUT!C22/1000,INPUT!C21/1000)</f>
        <v>9</v>
      </c>
      <c r="D176" s="632" t="s">
        <v>7</v>
      </c>
      <c r="E176" s="1137" t="s">
        <v>179</v>
      </c>
      <c r="F176" s="1137"/>
      <c r="G176" s="1137"/>
      <c r="H176" s="29">
        <f>0.8*H175</f>
        <v>9.0106208852520506</v>
      </c>
      <c r="I176" s="632" t="s">
        <v>11</v>
      </c>
      <c r="J176" s="30">
        <f>IF(L176&lt;&gt;"",L176,IF(M176&lt;&gt;"",M176,"-"))</f>
        <v>8</v>
      </c>
      <c r="K176" s="632" t="s">
        <v>178</v>
      </c>
      <c r="L176" s="209">
        <f>IF(H176&lt;A179/(2^(1/2)),8,IF(H176&lt;A179/(2^(1/6)),A179,IF(H176&lt;A180/(2^(1/6)),A179,IF(H176&lt;A181/(2^(1/6)),A180,IF(H176&lt;A182/(2^(1/6)),A181,IF(H176&lt;A183/(2^(1/6)),A182,IF(H176&lt;A184/(2^(1/6)),A183,IF(H176&lt;A185/(2^(1/6)),A184,""))))))))</f>
        <v>8</v>
      </c>
      <c r="M176" s="210" t="str">
        <f>IF(L176="",IF(H176&lt;A186/(2^(1/6)),A185,IF(H176&lt;A187/(2^(1/6)),A186,IF(H176&lt;A188/(2^(1/6)),A187,IF(H176&lt;A189/(2^(1/6)),A188,IF(H176&lt;A189*(2^(1/6)),A189,""))))),"")</f>
        <v/>
      </c>
      <c r="O176" s="11" t="str">
        <f>IF(Calculation!J176=8,"8Hz帯域",IF(Calculation!J176=16,"16Hz帯域",IF(Calculation!J176=20,"16Hz帯域",IF(Calculation!J176=25,"31.5Hz帯域",IF(Calculation!J176=31.5,"31.5Hz帯域",IF(Calculation!J176=40,"31.5Hz帯域",IF(Calculation!J176=50,"63Hz帯域",IF(Calculation!J176=63,"63Hz帯域",IF(Calculation!J176=80,"63Hz帯域",IF(Calculation!J176=100,"125Hz帯域",IF(Calculation!J176=125,"125Hz帯域",IF(Calculation!J176=160,"125Hz帯域","250Hz帯域"))))))))))))</f>
        <v>8Hz帯域</v>
      </c>
      <c r="R176" s="5"/>
      <c r="S176" s="5"/>
      <c r="T176" s="5"/>
      <c r="U176" s="5"/>
      <c r="V176" s="5"/>
      <c r="W176" s="5"/>
      <c r="X176" s="5"/>
      <c r="Y176" s="218"/>
      <c r="Z176" s="186"/>
    </row>
    <row r="177" spans="1:26" ht="12" thickBot="1" x14ac:dyDescent="0.25">
      <c r="A177" s="31" t="s">
        <v>84</v>
      </c>
      <c r="B177" s="32"/>
      <c r="C177" s="32"/>
      <c r="D177" s="32"/>
      <c r="E177" s="32"/>
      <c r="F177" s="32"/>
      <c r="G177" s="32"/>
      <c r="H177" s="32"/>
      <c r="I177" s="32"/>
      <c r="J177" s="32"/>
      <c r="K177" s="32"/>
      <c r="L177" s="32"/>
      <c r="M177" s="33"/>
      <c r="U177" s="211"/>
      <c r="V177" s="186"/>
      <c r="W177" s="211"/>
      <c r="X177" s="186"/>
      <c r="Y177" s="211"/>
      <c r="Z177" s="186"/>
    </row>
    <row r="178" spans="1:26" ht="12" thickBot="1" x14ac:dyDescent="0.25">
      <c r="A178" s="1138" t="s">
        <v>384</v>
      </c>
      <c r="B178" s="1139"/>
      <c r="C178" s="1139"/>
      <c r="D178" s="1139"/>
      <c r="E178" s="1139"/>
      <c r="F178" s="1139"/>
      <c r="G178" s="1135" t="s">
        <v>391</v>
      </c>
      <c r="H178" s="1135"/>
      <c r="I178" s="1135" t="s">
        <v>392</v>
      </c>
      <c r="J178" s="1135"/>
      <c r="K178" s="1135" t="s">
        <v>393</v>
      </c>
      <c r="L178" s="1135"/>
      <c r="M178" s="1135" t="s">
        <v>394</v>
      </c>
      <c r="N178" s="1135"/>
      <c r="O178" s="1135" t="s">
        <v>395</v>
      </c>
      <c r="P178" s="1136"/>
      <c r="U178" s="211"/>
      <c r="V178" s="186"/>
      <c r="W178" s="211"/>
      <c r="X178" s="186"/>
      <c r="Y178" s="211"/>
      <c r="Z178" s="186"/>
    </row>
    <row r="179" spans="1:26" ht="12.75" x14ac:dyDescent="0.2">
      <c r="A179" s="1150">
        <v>16</v>
      </c>
      <c r="B179" s="1151"/>
      <c r="C179" s="1151"/>
      <c r="D179" s="1164" t="s">
        <v>385</v>
      </c>
      <c r="E179" s="1165"/>
      <c r="F179" s="1166"/>
      <c r="G179" s="1147">
        <v>-1.5</v>
      </c>
      <c r="H179" s="1147"/>
      <c r="I179" s="1147">
        <v>0</v>
      </c>
      <c r="J179" s="1147"/>
      <c r="K179" s="1147">
        <v>0</v>
      </c>
      <c r="L179" s="1147"/>
      <c r="M179" s="1147">
        <v>0</v>
      </c>
      <c r="N179" s="1147"/>
      <c r="O179" s="1147">
        <v>0</v>
      </c>
      <c r="P179" s="1148"/>
      <c r="U179" s="211"/>
      <c r="V179" s="186"/>
      <c r="W179" s="211"/>
      <c r="X179" s="186"/>
      <c r="Y179" s="211"/>
      <c r="Z179" s="186"/>
    </row>
    <row r="180" spans="1:26" ht="12.75" x14ac:dyDescent="0.2">
      <c r="A180" s="1152">
        <v>20</v>
      </c>
      <c r="B180" s="1153"/>
      <c r="C180" s="1153"/>
      <c r="D180" s="1156" t="s">
        <v>385</v>
      </c>
      <c r="E180" s="1157"/>
      <c r="F180" s="1158"/>
      <c r="G180" s="1147">
        <v>-1.5</v>
      </c>
      <c r="H180" s="1147"/>
      <c r="I180" s="1147">
        <v>0</v>
      </c>
      <c r="J180" s="1147"/>
      <c r="K180" s="1147">
        <v>0</v>
      </c>
      <c r="L180" s="1147"/>
      <c r="M180" s="1147">
        <v>0</v>
      </c>
      <c r="N180" s="1147"/>
      <c r="O180" s="1147">
        <v>0</v>
      </c>
      <c r="P180" s="1148"/>
      <c r="U180" s="211"/>
      <c r="V180" s="186"/>
      <c r="W180" s="211"/>
      <c r="X180" s="186"/>
      <c r="Y180" s="211"/>
      <c r="Z180" s="186"/>
    </row>
    <row r="181" spans="1:26" ht="12.75" x14ac:dyDescent="0.2">
      <c r="A181" s="1154">
        <v>25</v>
      </c>
      <c r="B181" s="1155"/>
      <c r="C181" s="1155"/>
      <c r="D181" s="1161" t="s">
        <v>385</v>
      </c>
      <c r="E181" s="1162"/>
      <c r="F181" s="1163"/>
      <c r="G181" s="1167">
        <v>-4</v>
      </c>
      <c r="H181" s="1167"/>
      <c r="I181" s="1167">
        <v>-1</v>
      </c>
      <c r="J181" s="1167"/>
      <c r="K181" s="1167">
        <v>0</v>
      </c>
      <c r="L181" s="1167"/>
      <c r="M181" s="1167">
        <v>0</v>
      </c>
      <c r="N181" s="1167"/>
      <c r="O181" s="1167">
        <v>0</v>
      </c>
      <c r="P181" s="1172"/>
      <c r="U181" s="211"/>
      <c r="V181" s="186"/>
      <c r="W181" s="211"/>
      <c r="X181" s="186"/>
      <c r="Y181" s="211"/>
      <c r="Z181" s="186"/>
    </row>
    <row r="182" spans="1:26" ht="12.75" x14ac:dyDescent="0.2">
      <c r="A182" s="1152">
        <v>31.5</v>
      </c>
      <c r="B182" s="1153"/>
      <c r="C182" s="1153"/>
      <c r="D182" s="1156" t="s">
        <v>385</v>
      </c>
      <c r="E182" s="1157"/>
      <c r="F182" s="1158"/>
      <c r="G182" s="1147">
        <v>-4</v>
      </c>
      <c r="H182" s="1147"/>
      <c r="I182" s="1147">
        <v>-1</v>
      </c>
      <c r="J182" s="1147"/>
      <c r="K182" s="1147">
        <v>0</v>
      </c>
      <c r="L182" s="1147"/>
      <c r="M182" s="1147">
        <v>0</v>
      </c>
      <c r="N182" s="1147"/>
      <c r="O182" s="1147">
        <v>0</v>
      </c>
      <c r="P182" s="1148"/>
      <c r="U182" s="211"/>
      <c r="V182" s="186"/>
      <c r="W182" s="211"/>
      <c r="X182" s="186"/>
      <c r="Y182" s="211"/>
      <c r="Z182" s="186"/>
    </row>
    <row r="183" spans="1:26" ht="12.75" x14ac:dyDescent="0.2">
      <c r="A183" s="1159">
        <v>40</v>
      </c>
      <c r="B183" s="1160"/>
      <c r="C183" s="1160"/>
      <c r="D183" s="1169" t="s">
        <v>385</v>
      </c>
      <c r="E183" s="1170"/>
      <c r="F183" s="1171"/>
      <c r="G183" s="1168">
        <v>-4</v>
      </c>
      <c r="H183" s="1168"/>
      <c r="I183" s="1168">
        <v>-1</v>
      </c>
      <c r="J183" s="1168"/>
      <c r="K183" s="1168">
        <v>0</v>
      </c>
      <c r="L183" s="1168"/>
      <c r="M183" s="1168">
        <v>0</v>
      </c>
      <c r="N183" s="1168"/>
      <c r="O183" s="1168">
        <v>0</v>
      </c>
      <c r="P183" s="1173"/>
      <c r="U183" s="211"/>
      <c r="V183" s="186"/>
      <c r="W183" s="211"/>
      <c r="X183" s="186"/>
      <c r="Y183" s="211"/>
      <c r="Z183" s="186"/>
    </row>
    <row r="184" spans="1:26" ht="12.75" x14ac:dyDescent="0.2">
      <c r="A184" s="1154">
        <v>50</v>
      </c>
      <c r="B184" s="1155"/>
      <c r="C184" s="1155"/>
      <c r="D184" s="1161" t="s">
        <v>385</v>
      </c>
      <c r="E184" s="1162"/>
      <c r="F184" s="1163"/>
      <c r="G184" s="1167">
        <v>0</v>
      </c>
      <c r="H184" s="1167"/>
      <c r="I184" s="1167">
        <v>-2.5</v>
      </c>
      <c r="J184" s="1167"/>
      <c r="K184" s="1167">
        <v>-1</v>
      </c>
      <c r="L184" s="1167"/>
      <c r="M184" s="1167">
        <v>0</v>
      </c>
      <c r="N184" s="1167"/>
      <c r="O184" s="1167">
        <v>0</v>
      </c>
      <c r="P184" s="1172"/>
      <c r="U184" s="211"/>
      <c r="V184" s="186"/>
      <c r="W184" s="211"/>
      <c r="X184" s="186"/>
      <c r="Y184" s="211"/>
      <c r="Z184" s="186"/>
    </row>
    <row r="185" spans="1:26" ht="12.75" x14ac:dyDescent="0.2">
      <c r="A185" s="1152">
        <v>63</v>
      </c>
      <c r="B185" s="1153"/>
      <c r="C185" s="1153"/>
      <c r="D185" s="1156" t="s">
        <v>385</v>
      </c>
      <c r="E185" s="1157"/>
      <c r="F185" s="1158"/>
      <c r="G185" s="1147">
        <v>0</v>
      </c>
      <c r="H185" s="1147"/>
      <c r="I185" s="1147">
        <v>-2.5</v>
      </c>
      <c r="J185" s="1147"/>
      <c r="K185" s="1147">
        <v>-1</v>
      </c>
      <c r="L185" s="1147"/>
      <c r="M185" s="1147">
        <v>0</v>
      </c>
      <c r="N185" s="1147"/>
      <c r="O185" s="1147">
        <v>0</v>
      </c>
      <c r="P185" s="1148"/>
      <c r="S185" s="11" t="str">
        <f>IF(J181=A184,G184,IF(J181=A185,G185,IF(J181=A186,G186,IF(J181=A187,G187,IF(J181=A188,G188,IF(J181=A189,G189,IF(J181=A190,G190,IF(J181=A120,G120,""))))))))</f>
        <v/>
      </c>
      <c r="T185" s="11" t="str">
        <f>IF(J181=A121,K121,IF(J181=A122,K122,IF(J181=A123,K123,"")))</f>
        <v/>
      </c>
      <c r="U185" s="211"/>
      <c r="V185" s="186"/>
      <c r="W185" s="211"/>
      <c r="X185" s="186"/>
      <c r="Y185" s="211"/>
      <c r="Z185" s="186"/>
    </row>
    <row r="186" spans="1:26" ht="12.75" x14ac:dyDescent="0.2">
      <c r="A186" s="1159">
        <v>80</v>
      </c>
      <c r="B186" s="1160"/>
      <c r="C186" s="1160"/>
      <c r="D186" s="1169" t="s">
        <v>385</v>
      </c>
      <c r="E186" s="1170"/>
      <c r="F186" s="1171"/>
      <c r="G186" s="1168">
        <v>0</v>
      </c>
      <c r="H186" s="1168"/>
      <c r="I186" s="1168">
        <v>-2.5</v>
      </c>
      <c r="J186" s="1168"/>
      <c r="K186" s="1168">
        <v>-1</v>
      </c>
      <c r="L186" s="1168"/>
      <c r="M186" s="1168">
        <v>0</v>
      </c>
      <c r="N186" s="1168"/>
      <c r="O186" s="1168">
        <v>0</v>
      </c>
      <c r="P186" s="1173"/>
      <c r="R186" s="206" t="s">
        <v>386</v>
      </c>
      <c r="S186" s="206" t="str">
        <f>IF(J176=A179,G179,IF(J176=A180,G180,IF(J176=A181,G181,IF(J176=A182,G182,IF(J176=A183,G183,IF(J176=A184,G184,IF(J176=A185,G185,IF(J176=A186,G186,""))))))))</f>
        <v/>
      </c>
      <c r="T186" s="206" t="str">
        <f>IF(J176=A187,G187,IF(J176=A188,G188,IF(J176=A189,G189,"")))</f>
        <v/>
      </c>
      <c r="U186" s="211"/>
      <c r="V186" s="186"/>
      <c r="W186" s="211"/>
      <c r="X186" s="186"/>
      <c r="Y186" s="211"/>
      <c r="Z186" s="186"/>
    </row>
    <row r="187" spans="1:26" ht="12.75" x14ac:dyDescent="0.2">
      <c r="A187" s="1152">
        <v>100</v>
      </c>
      <c r="B187" s="1153"/>
      <c r="C187" s="1153"/>
      <c r="D187" s="1156" t="s">
        <v>385</v>
      </c>
      <c r="E187" s="1157"/>
      <c r="F187" s="1158"/>
      <c r="G187" s="1147">
        <v>0</v>
      </c>
      <c r="H187" s="1147"/>
      <c r="I187" s="1147">
        <v>0</v>
      </c>
      <c r="J187" s="1147"/>
      <c r="K187" s="1147">
        <v>-1.5</v>
      </c>
      <c r="L187" s="1147"/>
      <c r="M187" s="1147">
        <v>0</v>
      </c>
      <c r="N187" s="1147"/>
      <c r="O187" s="1147">
        <v>0</v>
      </c>
      <c r="P187" s="1148"/>
      <c r="R187" s="206" t="s">
        <v>387</v>
      </c>
      <c r="S187" s="206" t="str">
        <f>IF(J176=A179,I179,IF(J176=A180,I180,IF(J176=A181,I181,IF(J176=A182,I182,IF(J176=A183,I183,IF(J176=A184,I184,IF(J176=A185,I185,IF(J176=A186,I186,""))))))))</f>
        <v/>
      </c>
      <c r="T187" s="206" t="str">
        <f>IF(J176=A187,I187,IF(J176=A188,I188,IF(J176=A189,I189,"")))</f>
        <v/>
      </c>
      <c r="U187" s="211"/>
      <c r="V187" s="186"/>
      <c r="W187" s="211"/>
      <c r="X187" s="186"/>
      <c r="Y187" s="211"/>
      <c r="Z187" s="186"/>
    </row>
    <row r="188" spans="1:26" ht="12.75" x14ac:dyDescent="0.2">
      <c r="A188" s="1152">
        <v>125</v>
      </c>
      <c r="B188" s="1153"/>
      <c r="C188" s="1153"/>
      <c r="D188" s="1156" t="s">
        <v>385</v>
      </c>
      <c r="E188" s="1157"/>
      <c r="F188" s="1158"/>
      <c r="G188" s="1147">
        <v>0</v>
      </c>
      <c r="H188" s="1147"/>
      <c r="I188" s="1147">
        <v>0</v>
      </c>
      <c r="J188" s="1147"/>
      <c r="K188" s="1147">
        <v>-1.5</v>
      </c>
      <c r="L188" s="1147"/>
      <c r="M188" s="1147">
        <v>0</v>
      </c>
      <c r="N188" s="1147"/>
      <c r="O188" s="1147">
        <v>0</v>
      </c>
      <c r="P188" s="1148"/>
      <c r="R188" s="206" t="s">
        <v>388</v>
      </c>
      <c r="S188" s="206" t="str">
        <f>IF(J176=A179,K179,IF(J176=A180,K180,IF(J176=A181,K181,IF(J176=A182,K182,IF(J176=A183,K183,IF(J176=A184,K184,IF(J176=A185,K185,IF(J176=A186,K186,""))))))))</f>
        <v/>
      </c>
      <c r="T188" s="206" t="str">
        <f>IF(J176=A187,K187,IF(J176=A188,K188,IF(J176=A189,K189,"")))</f>
        <v/>
      </c>
      <c r="U188" s="211"/>
      <c r="V188" s="186"/>
      <c r="W188" s="211"/>
      <c r="X188" s="186"/>
      <c r="Y188" s="211"/>
      <c r="Z188" s="186"/>
    </row>
    <row r="189" spans="1:26" ht="12.75" x14ac:dyDescent="0.2">
      <c r="A189" s="1211">
        <v>160</v>
      </c>
      <c r="B189" s="1212"/>
      <c r="C189" s="1212"/>
      <c r="D189" s="1237" t="s">
        <v>385</v>
      </c>
      <c r="E189" s="1238"/>
      <c r="F189" s="1239"/>
      <c r="G189" s="1178">
        <v>0</v>
      </c>
      <c r="H189" s="1178"/>
      <c r="I189" s="1178">
        <v>0</v>
      </c>
      <c r="J189" s="1178"/>
      <c r="K189" s="1178">
        <v>-1.5</v>
      </c>
      <c r="L189" s="1178"/>
      <c r="M189" s="1178">
        <v>0</v>
      </c>
      <c r="N189" s="1178"/>
      <c r="O189" s="1178">
        <v>0</v>
      </c>
      <c r="P189" s="1191"/>
      <c r="R189" s="206" t="s">
        <v>389</v>
      </c>
      <c r="S189" s="206" t="str">
        <f>IF(J176=A179,M179,IF(J176=A180,M180,IF(J176=A181,M181,IF(J176=A182,M182,IF(J176=A183,M183,IF(J176=A184,M184,IF(J176=A185,M185,IF(J176=A186,M186,""))))))))</f>
        <v/>
      </c>
      <c r="T189" s="206" t="str">
        <f>IF(J176=A187,M187,IF(J176=A188,M188,IF(J176=A189,M189,"")))</f>
        <v/>
      </c>
      <c r="U189" s="211"/>
      <c r="V189" s="186"/>
      <c r="W189" s="211"/>
      <c r="X189" s="186"/>
      <c r="Y189" s="211"/>
      <c r="Z189" s="186"/>
    </row>
    <row r="190" spans="1:26" ht="12" thickBot="1" x14ac:dyDescent="0.25">
      <c r="A190" s="1188" t="s">
        <v>180</v>
      </c>
      <c r="B190" s="1189"/>
      <c r="C190" s="1189"/>
      <c r="D190" s="1189"/>
      <c r="E190" s="1189"/>
      <c r="F190" s="1189"/>
      <c r="G190" s="1190" t="str">
        <f>IF(S186&lt;&gt;"",S186,IF(T186&lt;&gt;"",T186,"NG"))</f>
        <v>NG</v>
      </c>
      <c r="H190" s="1179"/>
      <c r="I190" s="1179" t="str">
        <f>IF(S187&lt;&gt;"",S187,IF(T187&lt;&gt;"",T187,"NG"))</f>
        <v>NG</v>
      </c>
      <c r="J190" s="1179"/>
      <c r="K190" s="1179" t="str">
        <f>IF(S188&lt;&gt;"",S188,IF(T188&lt;&gt;"",T188,"NG"))</f>
        <v>NG</v>
      </c>
      <c r="L190" s="1179"/>
      <c r="M190" s="1179" t="str">
        <f>IF(S189&lt;&gt;"",S189,IF(T189&lt;&gt;"",T189,"NG"))</f>
        <v>NG</v>
      </c>
      <c r="N190" s="1179"/>
      <c r="O190" s="1179" t="str">
        <f>IF(S190&lt;&gt;"",S190,IF(T190&lt;&gt;"",T190,"NG"))</f>
        <v>NG</v>
      </c>
      <c r="P190" s="1213"/>
      <c r="R190" s="206" t="s">
        <v>390</v>
      </c>
      <c r="S190" s="206" t="str">
        <f>IF(J176=A179,O179,IF(J176=A180,O180,IF(J176=A181,O181,IF(J176=A182,O182,IF(J176=A183,O183,IF(J176=A184,O184,IF(J176=A185,O185,IF(J176=A186,O186,""))))))))</f>
        <v/>
      </c>
      <c r="T190" s="206" t="str">
        <f>IF(J176=A187,O187,IF(J176=A188,O188,IF(J176=A189,O189,"")))</f>
        <v/>
      </c>
      <c r="U190" s="211"/>
      <c r="V190" s="186"/>
      <c r="W190" s="211"/>
      <c r="X190" s="186"/>
      <c r="Y190" s="211"/>
      <c r="Z190" s="186"/>
    </row>
    <row r="191" spans="1:26" ht="12" thickBot="1" x14ac:dyDescent="0.25">
      <c r="A191" s="1138" t="s">
        <v>384</v>
      </c>
      <c r="B191" s="1139"/>
      <c r="C191" s="1139"/>
      <c r="D191" s="1139"/>
      <c r="E191" s="1139"/>
      <c r="F191" s="1139"/>
      <c r="G191" s="1135" t="s">
        <v>391</v>
      </c>
      <c r="H191" s="1135"/>
      <c r="I191" s="1135" t="s">
        <v>392</v>
      </c>
      <c r="J191" s="1135"/>
      <c r="K191" s="1135" t="s">
        <v>393</v>
      </c>
      <c r="L191" s="1135"/>
      <c r="M191" s="1135" t="s">
        <v>394</v>
      </c>
      <c r="N191" s="1135"/>
      <c r="O191" s="1135" t="s">
        <v>395</v>
      </c>
      <c r="P191" s="1136"/>
      <c r="Q191" s="186"/>
      <c r="R191" s="186"/>
      <c r="S191" s="186"/>
      <c r="T191" s="186"/>
      <c r="U191" s="211"/>
      <c r="V191" s="186"/>
      <c r="W191" s="211"/>
      <c r="X191" s="186"/>
      <c r="Y191" s="211"/>
      <c r="Z191" s="186"/>
    </row>
    <row r="192" spans="1:26" ht="12.75" x14ac:dyDescent="0.2">
      <c r="A192" s="1154">
        <v>31.5</v>
      </c>
      <c r="B192" s="1155"/>
      <c r="C192" s="1155"/>
      <c r="D192" s="1161" t="s">
        <v>385</v>
      </c>
      <c r="E192" s="1162"/>
      <c r="F192" s="1163"/>
      <c r="G192" s="1167">
        <v>-18</v>
      </c>
      <c r="H192" s="1167"/>
      <c r="I192" s="1167">
        <v>-15</v>
      </c>
      <c r="J192" s="1167"/>
      <c r="K192" s="1167">
        <v>-12</v>
      </c>
      <c r="L192" s="1167"/>
      <c r="M192" s="1167">
        <v>-9</v>
      </c>
      <c r="N192" s="1167"/>
      <c r="O192" s="1167">
        <v>-6</v>
      </c>
      <c r="P192" s="1172"/>
      <c r="Q192" s="186"/>
      <c r="R192" s="186"/>
      <c r="S192" s="186"/>
      <c r="T192" s="186"/>
      <c r="U192" s="211"/>
      <c r="V192" s="186"/>
      <c r="W192" s="211"/>
      <c r="X192" s="186"/>
      <c r="Y192" s="211"/>
      <c r="Z192" s="186"/>
    </row>
    <row r="193" spans="1:30" ht="12.75" x14ac:dyDescent="0.2">
      <c r="A193" s="1152">
        <v>63</v>
      </c>
      <c r="B193" s="1153"/>
      <c r="C193" s="1153"/>
      <c r="D193" s="1156" t="s">
        <v>385</v>
      </c>
      <c r="E193" s="1157"/>
      <c r="F193" s="1158"/>
      <c r="G193" s="1167">
        <v>3.5</v>
      </c>
      <c r="H193" s="1167"/>
      <c r="I193" s="1167">
        <v>-15</v>
      </c>
      <c r="J193" s="1167"/>
      <c r="K193" s="1167">
        <v>-12</v>
      </c>
      <c r="L193" s="1167"/>
      <c r="M193" s="1167">
        <v>-9</v>
      </c>
      <c r="N193" s="1167"/>
      <c r="O193" s="1167">
        <v>-6</v>
      </c>
      <c r="P193" s="1172"/>
      <c r="Q193" s="186"/>
      <c r="R193" s="186"/>
      <c r="S193" s="186"/>
      <c r="T193" s="186"/>
      <c r="U193" s="211"/>
      <c r="V193" s="186"/>
      <c r="W193" s="211"/>
      <c r="X193" s="186"/>
      <c r="Y193" s="211"/>
      <c r="Z193" s="186"/>
    </row>
    <row r="194" spans="1:30" ht="12.75" x14ac:dyDescent="0.2">
      <c r="A194" s="1152">
        <v>125</v>
      </c>
      <c r="B194" s="1153"/>
      <c r="C194" s="1153"/>
      <c r="D194" s="1156" t="s">
        <v>385</v>
      </c>
      <c r="E194" s="1157"/>
      <c r="F194" s="1158"/>
      <c r="G194" s="1167">
        <v>9.5</v>
      </c>
      <c r="H194" s="1167"/>
      <c r="I194" s="1167">
        <v>3.5</v>
      </c>
      <c r="J194" s="1167"/>
      <c r="K194" s="1167">
        <v>-12</v>
      </c>
      <c r="L194" s="1167"/>
      <c r="M194" s="1167">
        <v>-9</v>
      </c>
      <c r="N194" s="1167"/>
      <c r="O194" s="1167">
        <v>-6</v>
      </c>
      <c r="P194" s="1172"/>
      <c r="Q194" s="186"/>
      <c r="R194" s="186"/>
      <c r="S194" s="186"/>
      <c r="T194" s="186"/>
      <c r="U194" s="211"/>
      <c r="V194" s="186"/>
      <c r="W194" s="211"/>
      <c r="X194" s="186"/>
      <c r="Y194" s="211"/>
      <c r="Z194" s="186"/>
    </row>
    <row r="195" spans="1:30" ht="12" thickBot="1" x14ac:dyDescent="0.25">
      <c r="A195" s="1272" t="s">
        <v>180</v>
      </c>
      <c r="B195" s="1273"/>
      <c r="C195" s="1273"/>
      <c r="D195" s="1273"/>
      <c r="E195" s="1273"/>
      <c r="F195" s="1274"/>
      <c r="G195" s="1275" t="str">
        <f>IF($J$176&lt;=22.4,"NG",IF($J$176&lt;=45,G192,IF($J$176&lt;=90,G193,IF($J$176&lt;=180,G194,"NG"))))</f>
        <v>NG</v>
      </c>
      <c r="H195" s="1174"/>
      <c r="I195" s="1174" t="str">
        <f>IF($J$176&lt;=22.4,"NG",IF($J$176&lt;=45,I192,IF($J$176&lt;=90,I193,IF($J$176&lt;=180,I194,"NG"))))</f>
        <v>NG</v>
      </c>
      <c r="J195" s="1174"/>
      <c r="K195" s="1174" t="str">
        <f>IF($J$176&lt;=22.4,"NG",IF($J$176&lt;=45,K192,IF($J$176&lt;=90,K193,IF($J$176&lt;=180,K194,"NG"))))</f>
        <v>NG</v>
      </c>
      <c r="L195" s="1174"/>
      <c r="M195" s="1174" t="str">
        <f>IF($J$176&lt;=22.4,"NG",IF($J$176&lt;=45,M192,IF($J$176&lt;=90,M193,IF($J$176&lt;=180,M194,"NG"))))</f>
        <v>NG</v>
      </c>
      <c r="N195" s="1174"/>
      <c r="O195" s="1174" t="str">
        <f>IF($J$176&lt;=22.4,"NG",IF($J$176&lt;=45,O192,IF($J$176&lt;=90,O193,IF($J$176&lt;=180,O194,"NG"))))</f>
        <v>NG</v>
      </c>
      <c r="P195" s="1175"/>
      <c r="Q195" s="186"/>
      <c r="R195" s="186"/>
      <c r="S195" s="186"/>
      <c r="T195" s="186"/>
      <c r="U195" s="211"/>
      <c r="V195" s="186"/>
      <c r="W195" s="211"/>
      <c r="X195" s="186"/>
      <c r="Y195" s="211"/>
      <c r="Z195" s="186"/>
    </row>
    <row r="196" spans="1:30" ht="12.75" thickBot="1" x14ac:dyDescent="0.25">
      <c r="A196" s="1180" t="s">
        <v>415</v>
      </c>
      <c r="B196" s="1181"/>
      <c r="C196" s="1181"/>
      <c r="D196" s="1181"/>
      <c r="E196" s="1181"/>
      <c r="F196" s="1181"/>
      <c r="G196" s="1181"/>
      <c r="H196" s="1181"/>
      <c r="I196" s="1181"/>
      <c r="J196" s="1181"/>
      <c r="K196" s="1181"/>
      <c r="L196" s="1181"/>
      <c r="M196" s="1182"/>
    </row>
    <row r="197" spans="1:30" x14ac:dyDescent="0.2">
      <c r="A197" s="1183" t="s">
        <v>9</v>
      </c>
      <c r="B197" s="1184"/>
      <c r="C197" s="1184"/>
      <c r="D197" s="1270" t="s">
        <v>378</v>
      </c>
      <c r="E197" s="1270"/>
      <c r="F197" s="1270"/>
      <c r="G197" s="1270"/>
      <c r="H197" s="1270"/>
      <c r="I197" s="1270"/>
      <c r="J197" s="1270"/>
      <c r="K197" s="1270"/>
      <c r="L197" s="1270"/>
      <c r="M197" s="1271"/>
    </row>
    <row r="198" spans="1:30" x14ac:dyDescent="0.2">
      <c r="A198" s="1185"/>
      <c r="B198" s="1186"/>
      <c r="C198" s="1186"/>
      <c r="D198" s="1176">
        <v>31.5</v>
      </c>
      <c r="E198" s="1176"/>
      <c r="F198" s="1176">
        <v>63</v>
      </c>
      <c r="G198" s="1176"/>
      <c r="H198" s="1176">
        <v>125</v>
      </c>
      <c r="I198" s="1176"/>
      <c r="J198" s="1187">
        <v>250</v>
      </c>
      <c r="K198" s="1187"/>
      <c r="L198" s="1176">
        <v>500</v>
      </c>
      <c r="M198" s="1177"/>
    </row>
    <row r="199" spans="1:30" x14ac:dyDescent="0.2">
      <c r="A199" s="1185" t="s">
        <v>374</v>
      </c>
      <c r="B199" s="1186"/>
      <c r="C199" s="1186"/>
      <c r="D199" s="1176">
        <v>-0.5</v>
      </c>
      <c r="E199" s="1176"/>
      <c r="F199" s="1176">
        <v>-1.2</v>
      </c>
      <c r="G199" s="1176"/>
      <c r="H199" s="1176">
        <v>-2.2999999999999998</v>
      </c>
      <c r="I199" s="1176"/>
      <c r="J199" s="1176">
        <v>-4</v>
      </c>
      <c r="K199" s="1176"/>
      <c r="L199" s="1176">
        <v>-6</v>
      </c>
      <c r="M199" s="1177"/>
    </row>
    <row r="200" spans="1:30" x14ac:dyDescent="0.2">
      <c r="A200" s="1185" t="s">
        <v>375</v>
      </c>
      <c r="B200" s="1186"/>
      <c r="C200" s="1186"/>
      <c r="D200" s="1176">
        <v>-0.7</v>
      </c>
      <c r="E200" s="1176"/>
      <c r="F200" s="1176">
        <v>-1.7</v>
      </c>
      <c r="G200" s="1176"/>
      <c r="H200" s="1176">
        <v>-2.9</v>
      </c>
      <c r="I200" s="1176"/>
      <c r="J200" s="1176">
        <v>-4.8</v>
      </c>
      <c r="K200" s="1176"/>
      <c r="L200" s="1176">
        <v>-6.8</v>
      </c>
      <c r="M200" s="1177"/>
    </row>
    <row r="201" spans="1:30" x14ac:dyDescent="0.2">
      <c r="A201" s="1185" t="s">
        <v>376</v>
      </c>
      <c r="B201" s="1186"/>
      <c r="C201" s="1186"/>
      <c r="D201" s="1176">
        <v>-1</v>
      </c>
      <c r="E201" s="1176"/>
      <c r="F201" s="1176">
        <v>-2.2000000000000002</v>
      </c>
      <c r="G201" s="1176"/>
      <c r="H201" s="1176">
        <v>-3.6</v>
      </c>
      <c r="I201" s="1176"/>
      <c r="J201" s="1176">
        <v>-5.6</v>
      </c>
      <c r="K201" s="1176"/>
      <c r="L201" s="1176">
        <v>-7.6</v>
      </c>
      <c r="M201" s="1177"/>
    </row>
    <row r="202" spans="1:30" ht="12" thickBot="1" x14ac:dyDescent="0.25">
      <c r="A202" s="1313" t="s">
        <v>377</v>
      </c>
      <c r="B202" s="1314"/>
      <c r="C202" s="1314"/>
      <c r="D202" s="1210">
        <f>IF($H$173&lt;40,D199,IF($H$173&lt;70,D200,D201))</f>
        <v>-1</v>
      </c>
      <c r="E202" s="1210"/>
      <c r="F202" s="1210">
        <f>IF($H$173&lt;40,F199,IF($H$173&lt;70,F200,F201))</f>
        <v>-2.2000000000000002</v>
      </c>
      <c r="G202" s="1210"/>
      <c r="H202" s="1210">
        <f>IF($H$173&lt;40,H199,IF($H$173&lt;70,H200,H201))</f>
        <v>-3.6</v>
      </c>
      <c r="I202" s="1210"/>
      <c r="J202" s="1210">
        <f>IF($H$173&lt;40,J199,IF($H$173&lt;70,J200,J201))</f>
        <v>-5.6</v>
      </c>
      <c r="K202" s="1210"/>
      <c r="L202" s="1210">
        <f>IF($H$173&lt;40,L199,IF($H$173&lt;70,L200,L201))</f>
        <v>-7.6</v>
      </c>
      <c r="M202" s="1240"/>
    </row>
    <row r="203" spans="1:30" ht="13.5" thickBot="1" x14ac:dyDescent="0.25">
      <c r="A203" s="1200" t="s">
        <v>416</v>
      </c>
      <c r="B203" s="1208"/>
      <c r="C203" s="1208"/>
      <c r="D203" s="1208"/>
      <c r="E203" s="1208"/>
      <c r="F203" s="1208"/>
      <c r="G203" s="1208"/>
      <c r="H203" s="1208"/>
      <c r="I203" s="1208"/>
      <c r="J203" s="1208"/>
      <c r="K203" s="1208"/>
      <c r="L203" s="1208"/>
      <c r="M203" s="1208"/>
      <c r="N203" s="1208"/>
      <c r="O203" s="1208"/>
      <c r="P203" s="1208"/>
      <c r="Q203" s="1208"/>
      <c r="R203" s="1209"/>
    </row>
    <row r="204" spans="1:30" ht="15" thickBot="1" x14ac:dyDescent="0.25">
      <c r="A204" s="10" t="s">
        <v>598</v>
      </c>
      <c r="B204" s="5"/>
      <c r="C204" s="5"/>
      <c r="D204" s="5"/>
      <c r="E204" s="5"/>
      <c r="F204" s="5"/>
      <c r="G204" s="218"/>
      <c r="H204" s="218"/>
      <c r="I204" s="3"/>
      <c r="J204" s="3"/>
      <c r="K204" s="3"/>
      <c r="L204" s="3"/>
      <c r="M204" s="3"/>
      <c r="N204" s="3"/>
      <c r="O204" s="3"/>
      <c r="P204" s="5"/>
      <c r="Q204" s="5"/>
      <c r="R204" s="5"/>
      <c r="S204" s="5"/>
      <c r="T204" s="5"/>
      <c r="U204" s="5"/>
      <c r="V204" s="5"/>
      <c r="W204" s="5"/>
      <c r="X204" s="5"/>
      <c r="Y204" s="5"/>
      <c r="Z204" s="5"/>
      <c r="AA204" s="5"/>
      <c r="AB204" s="5"/>
      <c r="AC204" s="5"/>
      <c r="AD204" s="5"/>
    </row>
    <row r="205" spans="1:30" ht="15" thickBot="1" x14ac:dyDescent="0.25">
      <c r="A205" s="629" t="s">
        <v>599</v>
      </c>
      <c r="B205" s="630"/>
      <c r="C205" s="630"/>
      <c r="D205" s="630"/>
      <c r="E205" s="630"/>
      <c r="F205" s="630"/>
      <c r="G205" s="630"/>
      <c r="H205" s="631"/>
      <c r="I205" s="3"/>
      <c r="J205" s="594" t="s">
        <v>600</v>
      </c>
      <c r="K205" s="560"/>
      <c r="L205" s="560"/>
      <c r="M205" s="560"/>
      <c r="N205" s="560"/>
      <c r="O205" s="560"/>
      <c r="P205" s="560"/>
      <c r="Q205" s="561"/>
      <c r="R205" s="5"/>
      <c r="S205" s="499" t="s">
        <v>594</v>
      </c>
      <c r="T205" s="500"/>
      <c r="U205" s="1125" t="s">
        <v>473</v>
      </c>
      <c r="V205" s="1125"/>
      <c r="W205" s="1126" t="e">
        <f>(2.74-#REF!)*(2.66-#REF!)+(3.58-#REF!)*(3.65-#REF!)</f>
        <v>#REF!</v>
      </c>
      <c r="X205" s="1126"/>
      <c r="Y205" s="1126"/>
      <c r="Z205" s="1126"/>
      <c r="AA205" s="500"/>
      <c r="AB205" s="500"/>
      <c r="AC205" s="500"/>
      <c r="AD205" s="500"/>
    </row>
    <row r="206" spans="1:30" ht="14.25" x14ac:dyDescent="0.2">
      <c r="A206" s="562" t="s">
        <v>601</v>
      </c>
      <c r="B206" s="520"/>
      <c r="C206" s="503" t="str">
        <f>IF(C207=B209,$H$209,IF(C207=B210,$H$210,IF(C207=B211,$H$211,IF(C207=B212,$H$212,IF(C207=B213,$H$213,"-")))))</f>
        <v>a</v>
      </c>
      <c r="D206" s="503" t="str">
        <f>IF(D207=C209,$H$209,IF(D207=C210,$H$210,IF(D207=C211,$H$211,IF(D207=C212,$H$212,IF(D207=C213,$H$213,"-")))))</f>
        <v>-</v>
      </c>
      <c r="E206" s="503" t="str">
        <f>IF(E207=D209,$H$209,IF(E207=D210,$H$210,IF(E207=D211,$H$211,IF(E207=D212,$H$212,IF(E207=D213,$H$213,"-")))))</f>
        <v>-</v>
      </c>
      <c r="F206" s="503" t="str">
        <f>IF(F207=E209,$H$209,IF(F207=E210,$H$210,IF(F207=E211,$H$211,IF(F207=E212,$H$212,IF(F207=E213,$H$213,"-")))))</f>
        <v>-</v>
      </c>
      <c r="G206" s="503" t="str">
        <f>IF(G207=F209,$H$209,IF(G207=F210,$H$210,IF(G207=F211,$H$211,IF(G207=F212,$H$212,IF(G207=F213,$H$213,"-")))))</f>
        <v>-</v>
      </c>
      <c r="H206" s="563" t="s">
        <v>601</v>
      </c>
      <c r="I206" s="5"/>
      <c r="J206" s="562" t="s">
        <v>601</v>
      </c>
      <c r="K206" s="520"/>
      <c r="L206" s="503" t="str">
        <f>IF(L207=K209,$Q$209,IF(L207=K210,$Q$210,IF(L207=K211,$Q$211,IF(L207=K212,$Q$212,IF(L207=K213,$Q$213,"-")))))</f>
        <v>a</v>
      </c>
      <c r="M206" s="503" t="str">
        <f>IF(M207=L209,$Q$209,IF(M207=L210,$Q$210,IF(M207=L211,$Q$211,IF(M207=L212,$Q$212,IF(M207=L213,$Q$213,"-")))))</f>
        <v>-</v>
      </c>
      <c r="N206" s="503" t="str">
        <f>IF(N207=M209,$Q$209,IF(N207=M210,$Q$210,IF(N207=M211,$Q$211,IF(N207=M212,$Q$212,IF(N207=M213,$Q$213,"-")))))</f>
        <v>-</v>
      </c>
      <c r="O206" s="503" t="str">
        <f>IF(O207=N209,$Q$209,IF(O207=N210,$Q$210,IF(O207=N211,$Q$211,IF(O207=N212,$Q$212,IF(O207=N213,$Q$213,"-")))))</f>
        <v>-</v>
      </c>
      <c r="P206" s="503" t="str">
        <f>IF(P207=O209,$Q$209,IF(P207=O210,$Q$210,IF(P207=O211,$Q$211,IF(P207=O212,$Q$212,IF(P207=O213,$Q$213,"-")))))</f>
        <v>-</v>
      </c>
      <c r="Q206" s="563" t="s">
        <v>601</v>
      </c>
      <c r="R206" s="5"/>
      <c r="S206" s="1123" t="s">
        <v>595</v>
      </c>
      <c r="T206" s="1124"/>
      <c r="U206" s="501">
        <f>IF(INPUT!J37&lt;&gt;"",IF(INPUT!J37&lt;&gt;"-",IF((0.0057*20*LOG10(INPUT!J37)+0.1621)*Calculation!$E$97&lt;INPUT!$C$21/1000/4,(0.0057*20*LOG10(INPUT!J37)+0.1621)*Calculation!$E$97,INPUT!$C$21/1000/4),"-"),"")</f>
        <v>1.1704767888663266</v>
      </c>
      <c r="V206" s="501" t="str">
        <f>IF(INPUT!K37&lt;&gt;"",IF(INPUT!K37&lt;&gt;"-",IF((0.0057*20*LOG10(INPUT!K37)+0.1621)*Calculation!$E$97&lt;INPUT!$C$21/1000/4,(0.0057*20*LOG10(INPUT!K37)+0.1621)*Calculation!$E$97,INPUT!$C$21/1000/4),"-"),"")</f>
        <v>-</v>
      </c>
      <c r="W206" s="501" t="str">
        <f>IF(INPUT!L37&lt;&gt;"",IF(INPUT!L37&lt;&gt;"-",IF((0.0057*20*LOG10(INPUT!L37)+0.1621)*Calculation!$E$97&lt;INPUT!$C$21/1000/4,(0.0057*20*LOG10(INPUT!L37)+0.1621)*Calculation!$E$97,INPUT!$C$21/1000/4),"-"),"")</f>
        <v>-</v>
      </c>
      <c r="X206" s="628" t="str">
        <f>IF(INPUT!M37&lt;&gt;"",IF(INPUT!M37&lt;&gt;"-",IF((0.0057*20*LOG10(INPUT!M37)+0.1621)*Calculation!$E$97&lt;INPUT!$C$21/1000/4,(0.0057*20*LOG10(INPUT!M37)+0.1621)*Calculation!$E$97,INPUT!$C$21/1000/4),"-"),"")</f>
        <v>-</v>
      </c>
      <c r="Y206" s="502" t="str">
        <f>IF(INPUT!N37&lt;&gt;"",IF(INPUT!N37&lt;&gt;"-",IF((0.0057*20*LOG10(INPUT!N37)+0.1621)*Calculation!$E$97&lt;INPUT!$C$21/1000/4,(0.0057*20*LOG10(INPUT!N37)+0.1621)*Calculation!$E$97,INPUT!$C$21/1000/4),"-"),"")</f>
        <v/>
      </c>
      <c r="Z206" s="501">
        <f>IF(INPUT!$N$21&lt;&gt;"木村・井上式（1988）",IF(Calculation!$E$97*0.175&lt;INPUT!$C$21/1000/4,Calculation!$E$97*0.175,INPUT!$C$21/1000/4),"-")</f>
        <v>0.91393005695728058</v>
      </c>
      <c r="AA206" s="501">
        <f>IF(INPUT!$N$21&lt;&gt;"木村・井上式（1988）",IF(Calculation!$E$97*0.175&lt;INPUT!$C$21/1000/4,Calculation!$E$97*0.175,INPUT!$C$21/1000/4),"-")</f>
        <v>0.91393005695728058</v>
      </c>
      <c r="AB206" s="501">
        <f>IF(INPUT!$N$21&lt;&gt;"木村・井上式（1988）",IF(Calculation!$E$97*0.117&lt;INPUT!$C$21/1000/4,Calculation!$E$97*0.117,INPUT!$C$21/1000/4),"-")</f>
        <v>0.61102752379429626</v>
      </c>
      <c r="AC206" s="501" t="str">
        <f>IF(INPUT!$N$21="木村・井上式（1988）",IF(Calculation!$E$97*0.25&lt;INPUT!$C$21/1000/4,Calculation!$E$97*0.25,INPUT!$C$21/1000/4),"-")</f>
        <v>-</v>
      </c>
      <c r="AD206" s="501" t="str">
        <f>IF(INPUT!$N$21="木村・井上式（1988）",IF(Calculation!$E$97*0.25&lt;INPUT!$C$21/1000/4,Calculation!$E$97*0.25,INPUT!$C$21/1000/4),"-")</f>
        <v>-</v>
      </c>
    </row>
    <row r="207" spans="1:30" ht="12.75" customHeight="1" x14ac:dyDescent="0.2">
      <c r="A207" s="564" t="s">
        <v>602</v>
      </c>
      <c r="B207" s="521"/>
      <c r="C207" s="505">
        <f>IF(C208&lt;&gt;0,C208,"-")</f>
        <v>3.5</v>
      </c>
      <c r="D207" s="505" t="str">
        <f>IF(D208&lt;&gt;0,D208,"-")</f>
        <v>-</v>
      </c>
      <c r="E207" s="505" t="str">
        <f>IF(E208&lt;&gt;0,E208,"-")</f>
        <v>-</v>
      </c>
      <c r="F207" s="505" t="str">
        <f>IF(F208&lt;&gt;0,F208,"-")</f>
        <v>-</v>
      </c>
      <c r="G207" s="505" t="str">
        <f>IF(G208&lt;&gt;0,G208,"-")</f>
        <v>-</v>
      </c>
      <c r="H207" s="565"/>
      <c r="I207" s="5"/>
      <c r="J207" s="564" t="s">
        <v>602</v>
      </c>
      <c r="K207" s="521"/>
      <c r="L207" s="505">
        <f>IF(L208&lt;&gt;0,L208,"-")</f>
        <v>3.5</v>
      </c>
      <c r="M207" s="505" t="str">
        <f>IF(M208&lt;&gt;0,M208,"-")</f>
        <v>-</v>
      </c>
      <c r="N207" s="505" t="str">
        <f>IF(N208&lt;&gt;0,N208,"-")</f>
        <v>-</v>
      </c>
      <c r="O207" s="505" t="str">
        <f>IF(O208&lt;&gt;0,O208,"-")</f>
        <v>-</v>
      </c>
      <c r="P207" s="505" t="str">
        <f>IF(P208&lt;&gt;0,P208,"-")</f>
        <v>-</v>
      </c>
      <c r="Q207" s="565"/>
      <c r="R207" s="5"/>
      <c r="S207" s="1123" t="s">
        <v>596</v>
      </c>
      <c r="T207" s="1124"/>
      <c r="U207" s="501">
        <f>IF(INPUT!J44&lt;&gt;"",IF(INPUT!J44&lt;&gt;"-",IF((0.0057*20*LOG10(INPUT!J44)+0.1621)*Calculation!$E$97&lt;INPUT!$C$22/1000/4,(0.0057*20*LOG10(INPUT!J44)+0.1621)*Calculation!$E$97,INPUT!$C$22/1000/4),"-"),"")</f>
        <v>1.1704767888663266</v>
      </c>
      <c r="V207" s="501" t="str">
        <f>IF(INPUT!K44&lt;&gt;"",IF(INPUT!K44&lt;&gt;"-",IF((0.0057*20*LOG10(INPUT!K44)+0.1621)*Calculation!$E$97&lt;INPUT!$C$22/1000/4,(0.0057*20*LOG10(INPUT!K44)+0.1621)*Calculation!$E$97,INPUT!$C$22/1000/4),"-"),"")</f>
        <v>-</v>
      </c>
      <c r="W207" s="501" t="str">
        <f>IF(INPUT!L44&lt;&gt;"",IF(INPUT!L44&lt;&gt;"-",IF((0.0057*20*LOG10(INPUT!L44)+0.1621)*Calculation!$E$97&lt;INPUT!$C$22/1000/4,(0.0057*20*LOG10(INPUT!L44)+0.1621)*Calculation!$E$97,INPUT!$C$22/1000/4),"-"),"")</f>
        <v>-</v>
      </c>
      <c r="X207" s="628" t="str">
        <f>IF(INPUT!M44&lt;&gt;"",IF(INPUT!M44&lt;&gt;"-",IF((0.0057*20*LOG10(INPUT!M44)+0.1621)*Calculation!$E$97&lt;INPUT!$C$22/1000/4,(0.0057*20*LOG10(INPUT!M44)+0.1621)*Calculation!$E$97,INPUT!$C$22/1000/4),"-"),"")</f>
        <v>-</v>
      </c>
      <c r="Y207" s="502" t="str">
        <f>IF(INPUT!N44&lt;&gt;"",IF(INPUT!N44&lt;&gt;"-",IF((0.0057*20*LOG10(INPUT!N44)+0.1621)*Calculation!$E$97&lt;INPUT!$C$22/1000/4,(0.0057*20*LOG10(INPUT!N44)+0.1621)*Calculation!$E$97,INPUT!$C$22/1000/4),"-"),"")</f>
        <v/>
      </c>
      <c r="Z207" s="501">
        <f>IF(INPUT!$N$21&lt;&gt;"木村・井上式（1988）",IF(Calculation!$E$97*0.175&lt;INPUT!$C$22/1000/4,Calculation!$E$97*0.175,INPUT!$C$22/1000/4),"-")</f>
        <v>0.91393005695728058</v>
      </c>
      <c r="AA207" s="501">
        <f>IF(INPUT!$N$21&lt;&gt;"木村・井上式（1988）",IF(Calculation!$E$97*0.175&lt;INPUT!$C$22/1000/4,Calculation!$E$97*0.175,INPUT!$C$22/1000/4),"-")</f>
        <v>0.91393005695728058</v>
      </c>
      <c r="AB207" s="501">
        <f>IF(INPUT!$N$21&lt;&gt;"木村・井上式（1988）",IF(Calculation!$E$97*0.117&lt;INPUT!$C$22/1000/4,Calculation!$E$97*0.117,INPUT!$C$22/1000/4),"-")</f>
        <v>0.61102752379429626</v>
      </c>
      <c r="AC207" s="501" t="str">
        <f>IF(INPUT!$N$21="木村・井上式（1988）",IF(Calculation!$E$97*0.25&lt;INPUT!$C$22/1000/4,Calculation!$E$97*0.25,INPUT!$C$22/1000/4),"-")</f>
        <v>-</v>
      </c>
      <c r="AD207" s="501" t="str">
        <f>IF(INPUT!$N$21="木村・井上式（1988）",IF(Calculation!$E$97*0.25&lt;INPUT!$C$22/1000/4,Calculation!$E$97*0.25,INPUT!$C$22/1000/4),"-")</f>
        <v>-</v>
      </c>
    </row>
    <row r="208" spans="1:30" ht="12.75" customHeight="1" thickBot="1" x14ac:dyDescent="0.25">
      <c r="A208" s="566" t="s">
        <v>603</v>
      </c>
      <c r="B208" s="522"/>
      <c r="C208" s="508">
        <f>IF(MAX(B209:B213)&lt;&gt;0,MAX(B209:B213),0)</f>
        <v>3.5</v>
      </c>
      <c r="D208" s="508">
        <f>IF(MAX(C209:C213)&lt;&gt;0,MAX(C209:C213),0)</f>
        <v>0</v>
      </c>
      <c r="E208" s="508">
        <f>IF(MAX(D209:D213)&lt;&gt;0,MAX(D209:D213),0)</f>
        <v>0</v>
      </c>
      <c r="F208" s="508">
        <f>IF(MAX(E209:E213)&lt;&gt;0,MAX(E209:E213),0)</f>
        <v>0</v>
      </c>
      <c r="G208" s="508">
        <f>IF(MAX(F209:F213)&lt;&gt;0,MAX(F209:F213),0)</f>
        <v>0</v>
      </c>
      <c r="H208" s="567"/>
      <c r="I208" s="5"/>
      <c r="J208" s="566" t="s">
        <v>603</v>
      </c>
      <c r="K208" s="522"/>
      <c r="L208" s="508">
        <f>IF(MAX(K209:K213)&lt;&gt;0,MAX(K209:K213),0)</f>
        <v>3.5</v>
      </c>
      <c r="M208" s="508">
        <f>IF(MAX(L209:L213)&lt;&gt;0,MAX(L209:L213),0)</f>
        <v>0</v>
      </c>
      <c r="N208" s="508">
        <f>IF(MAX(M209:M213)&lt;&gt;0,MAX(M209:M213),0)</f>
        <v>0</v>
      </c>
      <c r="O208" s="508">
        <f>IF(MAX(N209:N213)&lt;&gt;0,MAX(N209:N213),0)</f>
        <v>0</v>
      </c>
      <c r="P208" s="508">
        <f>IF(MAX(O209:O213)&lt;&gt;0,MAX(O209:O213),0)</f>
        <v>0</v>
      </c>
      <c r="Q208" s="567"/>
      <c r="R208" s="5"/>
      <c r="S208" s="5"/>
      <c r="T208" s="5"/>
      <c r="U208" s="5"/>
      <c r="V208" s="5"/>
      <c r="W208" s="5"/>
      <c r="X208" s="5"/>
      <c r="Y208" s="5"/>
      <c r="Z208" s="5"/>
      <c r="AA208" s="5"/>
      <c r="AB208" s="5"/>
      <c r="AC208" s="5"/>
      <c r="AD208" s="5"/>
    </row>
    <row r="209" spans="1:30" ht="12.75" customHeight="1" x14ac:dyDescent="0.2">
      <c r="A209" s="519" t="s">
        <v>15</v>
      </c>
      <c r="B209" s="516">
        <f>IF(INPUT!D26=INPUT!$N$24,Calculation!M141,IF(INPUT!D26=INPUT!$N$25,Calculation!M141,IF(INPUT!D26=INPUT!$N$26,Calculation!M141,IF(INPUT!D26=INPUT!$N$27,Calculation!M141,0))))</f>
        <v>3.5</v>
      </c>
      <c r="C209" s="510">
        <f>IF($C$208-B209=0,0,B209)</f>
        <v>0</v>
      </c>
      <c r="D209" s="510">
        <f>IF($D$208-C209=0,0,C209)</f>
        <v>0</v>
      </c>
      <c r="E209" s="510">
        <f>IF($E$208-D209=0,0,D209)</f>
        <v>0</v>
      </c>
      <c r="F209" s="510">
        <f>IF($F$208-E209=0,0,E209)</f>
        <v>0</v>
      </c>
      <c r="G209" s="510">
        <f>IF($G$208-F209=0,0,F209)</f>
        <v>0</v>
      </c>
      <c r="H209" s="512" t="str">
        <f>IF(INPUT!D26=1,"a",IF(INPUT!D26=2,"b",IF(INPUT!D26=3,"c",IF(INPUT!D26=4,"d",0))))</f>
        <v>a</v>
      </c>
      <c r="I209" s="5"/>
      <c r="J209" s="519" t="s">
        <v>15</v>
      </c>
      <c r="K209" s="516">
        <f>IF(INPUT!J26=INPUT!$N$24,Calculation!N141,IF(INPUT!J26=INPUT!$N$25,Calculation!N141,IF(INPUT!J26=INPUT!$N$26,Calculation!N141,IF(INPUT!J26=INPUT!$N$27,Calculation!N141,0))))</f>
        <v>3.5</v>
      </c>
      <c r="L209" s="510">
        <f t="shared" ref="L209:P213" si="18">IF(L$208-K209=0,0,K209)</f>
        <v>0</v>
      </c>
      <c r="M209" s="510">
        <f t="shared" si="18"/>
        <v>0</v>
      </c>
      <c r="N209" s="510">
        <f t="shared" si="18"/>
        <v>0</v>
      </c>
      <c r="O209" s="510">
        <f t="shared" si="18"/>
        <v>0</v>
      </c>
      <c r="P209" s="510">
        <f t="shared" si="18"/>
        <v>0</v>
      </c>
      <c r="Q209" s="512" t="str">
        <f>IF(INPUT!J26=1,"a",IF(INPUT!J26=2,"b",IF(INPUT!J26=3,"c",IF(INPUT!J26=4,"d",0))))</f>
        <v>a</v>
      </c>
      <c r="R209" s="5"/>
      <c r="S209" s="5"/>
      <c r="T209" s="5"/>
      <c r="U209" s="5"/>
      <c r="V209" s="5"/>
      <c r="W209" s="5"/>
      <c r="X209" s="5"/>
      <c r="Y209" s="5"/>
      <c r="Z209" s="5"/>
      <c r="AA209" s="5"/>
      <c r="AB209" s="5"/>
      <c r="AC209" s="5"/>
      <c r="AD209" s="5"/>
    </row>
    <row r="210" spans="1:30" ht="13.5" customHeight="1" x14ac:dyDescent="0.2">
      <c r="A210" s="517" t="s">
        <v>40</v>
      </c>
      <c r="B210" s="514">
        <f>IF(INPUT!D27=INPUT!$N$24,Calculation!M142,IF(INPUT!D27=INPUT!$N$25,Calculation!M142,IF(INPUT!D27=INPUT!$N$26,Calculation!M142,IF(INPUT!D27=INPUT!$N$27,Calculation!M142,0))))</f>
        <v>3.5</v>
      </c>
      <c r="C210" s="504">
        <f>IF($C$208-B210=0,0,B210)</f>
        <v>0</v>
      </c>
      <c r="D210" s="504">
        <f>IF($D$208-C210=0,0,C210)</f>
        <v>0</v>
      </c>
      <c r="E210" s="504">
        <f>IF($E$208-D210=0,0,D210)</f>
        <v>0</v>
      </c>
      <c r="F210" s="504">
        <f>IF($F$208-E210=0,0,E210)</f>
        <v>0</v>
      </c>
      <c r="G210" s="504">
        <f>IF($G$208-F210=0,0,F210)</f>
        <v>0</v>
      </c>
      <c r="H210" s="507" t="str">
        <f>IF(INPUT!D27=1,"a",IF(INPUT!D27=2,"b",IF(INPUT!D27=3,"c",IF(INPUT!D27=4,"d",0))))</f>
        <v>a</v>
      </c>
      <c r="I210" s="5"/>
      <c r="J210" s="517" t="s">
        <v>40</v>
      </c>
      <c r="K210" s="514">
        <f>IF(INPUT!J27=INPUT!$N$24,Calculation!N142,IF(INPUT!J27=INPUT!$N$25,Calculation!N142,IF(INPUT!J27=INPUT!$N$26,Calculation!N142,IF(INPUT!J27=INPUT!$N$27,Calculation!N142,0))))</f>
        <v>3.5</v>
      </c>
      <c r="L210" s="504">
        <f t="shared" si="18"/>
        <v>0</v>
      </c>
      <c r="M210" s="504">
        <f t="shared" si="18"/>
        <v>0</v>
      </c>
      <c r="N210" s="504">
        <f t="shared" si="18"/>
        <v>0</v>
      </c>
      <c r="O210" s="504">
        <f t="shared" si="18"/>
        <v>0</v>
      </c>
      <c r="P210" s="504">
        <f t="shared" si="18"/>
        <v>0</v>
      </c>
      <c r="Q210" s="507" t="str">
        <f>IF(INPUT!J27=1,"a",IF(INPUT!J27=2,"b",IF(INPUT!J27=3,"c",IF(INPUT!J27=4,"d",0))))</f>
        <v>a</v>
      </c>
      <c r="R210" s="5"/>
      <c r="S210" s="5"/>
      <c r="T210" s="5"/>
      <c r="U210" s="5"/>
      <c r="V210" s="5"/>
      <c r="W210" s="5"/>
      <c r="X210" s="5"/>
      <c r="Y210" s="5"/>
      <c r="Z210" s="5"/>
      <c r="AA210" s="5"/>
      <c r="AB210" s="5"/>
      <c r="AC210" s="5"/>
      <c r="AD210" s="5"/>
    </row>
    <row r="211" spans="1:30" ht="13.5" customHeight="1" x14ac:dyDescent="0.2">
      <c r="A211" s="517" t="s">
        <v>41</v>
      </c>
      <c r="B211" s="514">
        <f>IF(INPUT!D28=INPUT!$N$24,Calculation!M143,IF(INPUT!D28=INPUT!$N$25,Calculation!M143,IF(INPUT!D28=INPUT!$N$26,Calculation!M143,IF(INPUT!D28=INPUT!$N$27,Calculation!M143,0))))</f>
        <v>3.5</v>
      </c>
      <c r="C211" s="504">
        <f>IF($C$208-B211=0,0,B211)</f>
        <v>0</v>
      </c>
      <c r="D211" s="504">
        <f>IF($D$208-C211=0,0,C211)</f>
        <v>0</v>
      </c>
      <c r="E211" s="504">
        <f>IF($E$208-D211=0,0,D211)</f>
        <v>0</v>
      </c>
      <c r="F211" s="504">
        <f>IF($F$208-E211=0,0,E211)</f>
        <v>0</v>
      </c>
      <c r="G211" s="504">
        <f>IF($G$208-F211=0,0,F211)</f>
        <v>0</v>
      </c>
      <c r="H211" s="507" t="str">
        <f>IF(INPUT!D28=1,"a",IF(INPUT!D28=2,"b",IF(INPUT!D28=3,"c",IF(INPUT!D28=4,"d",0))))</f>
        <v>a</v>
      </c>
      <c r="I211" s="5"/>
      <c r="J211" s="517" t="s">
        <v>41</v>
      </c>
      <c r="K211" s="514">
        <f>IF(INPUT!J28=INPUT!$N$24,Calculation!N143,IF(INPUT!J28=INPUT!$N$25,Calculation!N143,IF(INPUT!J28=INPUT!$N$26,Calculation!N143,IF(INPUT!J28=INPUT!$N$27,Calculation!N143,0))))</f>
        <v>3.5</v>
      </c>
      <c r="L211" s="504">
        <f t="shared" si="18"/>
        <v>0</v>
      </c>
      <c r="M211" s="504">
        <f t="shared" si="18"/>
        <v>0</v>
      </c>
      <c r="N211" s="504">
        <f t="shared" si="18"/>
        <v>0</v>
      </c>
      <c r="O211" s="504">
        <f t="shared" si="18"/>
        <v>0</v>
      </c>
      <c r="P211" s="504">
        <f t="shared" si="18"/>
        <v>0</v>
      </c>
      <c r="Q211" s="507" t="str">
        <f>IF(INPUT!J28=1,"a",IF(INPUT!J28=2,"b",IF(INPUT!J28=3,"c",IF(INPUT!J28=4,"d",0))))</f>
        <v>a</v>
      </c>
      <c r="R211" s="5"/>
      <c r="S211" s="5"/>
      <c r="T211" s="5"/>
      <c r="U211" s="5"/>
      <c r="V211" s="5"/>
      <c r="W211" s="5"/>
      <c r="X211" s="5"/>
      <c r="Y211" s="5"/>
      <c r="Z211" s="5"/>
      <c r="AA211" s="5"/>
      <c r="AB211" s="5"/>
      <c r="AC211" s="5"/>
      <c r="AD211" s="5"/>
    </row>
    <row r="212" spans="1:30" s="194" customFormat="1" ht="14.25" x14ac:dyDescent="0.2">
      <c r="A212" s="517" t="s">
        <v>42</v>
      </c>
      <c r="B212" s="514">
        <f>IF(INPUT!D29=INPUT!$N$24,Calculation!M144,IF(INPUT!D29=INPUT!$N$25,Calculation!M144,IF(INPUT!D29=INPUT!$N$26,Calculation!M144,IF(INPUT!D29=INPUT!$N$27,Calculation!M144,0))))</f>
        <v>3.5</v>
      </c>
      <c r="C212" s="504">
        <f>IF($C$208-B212=0,0,B212)</f>
        <v>0</v>
      </c>
      <c r="D212" s="504">
        <f>IF($D$208-C212=0,0,C212)</f>
        <v>0</v>
      </c>
      <c r="E212" s="504">
        <f>IF($E$208-D212=0,0,D212)</f>
        <v>0</v>
      </c>
      <c r="F212" s="504">
        <f>IF($F$208-E212=0,0,E212)</f>
        <v>0</v>
      </c>
      <c r="G212" s="504">
        <f>IF($G$208-F212=0,0,F212)</f>
        <v>0</v>
      </c>
      <c r="H212" s="507" t="str">
        <f>IF(INPUT!D29=1,"a",IF(INPUT!D29=2,"b",IF(INPUT!D29=3,"c",IF(INPUT!D29=4,"d",0))))</f>
        <v>a</v>
      </c>
      <c r="I212" s="5"/>
      <c r="J212" s="517" t="s">
        <v>42</v>
      </c>
      <c r="K212" s="514">
        <f>IF(INPUT!J29=INPUT!$N$24,Calculation!N144,IF(INPUT!J29=INPUT!$N$25,Calculation!N144,IF(INPUT!J29=INPUT!$N$26,Calculation!N144,IF(INPUT!J29=INPUT!$N$27,Calculation!N144,0))))</f>
        <v>3.5</v>
      </c>
      <c r="L212" s="504">
        <f t="shared" si="18"/>
        <v>0</v>
      </c>
      <c r="M212" s="504">
        <f t="shared" si="18"/>
        <v>0</v>
      </c>
      <c r="N212" s="504">
        <f t="shared" si="18"/>
        <v>0</v>
      </c>
      <c r="O212" s="504">
        <f t="shared" si="18"/>
        <v>0</v>
      </c>
      <c r="P212" s="504">
        <f t="shared" si="18"/>
        <v>0</v>
      </c>
      <c r="Q212" s="507" t="str">
        <f>IF(INPUT!J29=1,"a",IF(INPUT!J29=2,"b",IF(INPUT!J29=3,"c",IF(INPUT!J29=4,"d",0))))</f>
        <v>a</v>
      </c>
      <c r="R212" s="5"/>
      <c r="S212" s="5"/>
      <c r="T212" s="5"/>
      <c r="U212" s="5"/>
      <c r="V212" s="5"/>
      <c r="W212" s="5"/>
      <c r="X212" s="5"/>
      <c r="Y212" s="5"/>
      <c r="Z212" s="5"/>
      <c r="AA212" s="5"/>
      <c r="AB212" s="5"/>
      <c r="AC212" s="5"/>
      <c r="AD212" s="5"/>
    </row>
    <row r="213" spans="1:30" ht="15" thickBot="1" x14ac:dyDescent="0.25">
      <c r="A213" s="518" t="s">
        <v>43</v>
      </c>
      <c r="B213" s="515">
        <f>IF(INPUT!D30=INPUT!$N$24,Calculation!M145,IF(INPUT!D30=INPUT!$N$25,Calculation!M145,IF(INPUT!D30=INPUT!$N$26,Calculation!M145,IF(INPUT!D30=INPUT!$N$27,Calculation!M145,0))))</f>
        <v>3.5</v>
      </c>
      <c r="C213" s="508">
        <f>IF($C$208-B213=0,0,B213)</f>
        <v>0</v>
      </c>
      <c r="D213" s="508">
        <f>IF($D$208-C213=0,0,C213)</f>
        <v>0</v>
      </c>
      <c r="E213" s="508">
        <f>IF($E$208-D213=0,0,D213)</f>
        <v>0</v>
      </c>
      <c r="F213" s="508">
        <f>IF($F$208-E213=0,0,E213)</f>
        <v>0</v>
      </c>
      <c r="G213" s="508">
        <f>IF($G$208-F213=0,0,F213)</f>
        <v>0</v>
      </c>
      <c r="H213" s="509" t="str">
        <f>IF(INPUT!D30=1,"a",IF(INPUT!D30=2,"b",IF(INPUT!D30=3,"c",IF(INPUT!D30=4,"d",0))))</f>
        <v>a</v>
      </c>
      <c r="I213" s="5"/>
      <c r="J213" s="518" t="s">
        <v>43</v>
      </c>
      <c r="K213" s="515">
        <f>IF(INPUT!J30=INPUT!$N$24,Calculation!N145,IF(INPUT!J30=INPUT!$N$25,Calculation!N145,IF(INPUT!J30=INPUT!$N$26,Calculation!N145,IF(INPUT!J30=INPUT!$N$27,Calculation!N145,0))))</f>
        <v>3.5</v>
      </c>
      <c r="L213" s="508">
        <f t="shared" si="18"/>
        <v>0</v>
      </c>
      <c r="M213" s="508">
        <f t="shared" si="18"/>
        <v>0</v>
      </c>
      <c r="N213" s="508">
        <f t="shared" si="18"/>
        <v>0</v>
      </c>
      <c r="O213" s="508">
        <f t="shared" si="18"/>
        <v>0</v>
      </c>
      <c r="P213" s="508">
        <f t="shared" si="18"/>
        <v>0</v>
      </c>
      <c r="Q213" s="509" t="str">
        <f>IF(INPUT!J30=1,"a",IF(INPUT!J30=2,"b",IF(INPUT!J30=3,"c",IF(INPUT!J30=4,"d",0))))</f>
        <v>a</v>
      </c>
      <c r="R213" s="5"/>
      <c r="S213" s="5"/>
      <c r="T213" s="5"/>
      <c r="U213" s="5"/>
      <c r="V213" s="5"/>
      <c r="W213" s="5"/>
      <c r="X213" s="5"/>
      <c r="Y213" s="5"/>
      <c r="Z213" s="5"/>
      <c r="AA213" s="5"/>
      <c r="AB213" s="5"/>
      <c r="AC213" s="5"/>
      <c r="AD213" s="5"/>
    </row>
    <row r="215" spans="1:30" x14ac:dyDescent="0.2">
      <c r="A215" s="556"/>
      <c r="B215" s="557"/>
      <c r="C215" s="557"/>
      <c r="D215" s="557"/>
      <c r="E215" s="557"/>
      <c r="F215" s="557"/>
      <c r="G215" s="557"/>
      <c r="H215" s="557"/>
      <c r="I215" s="557"/>
      <c r="J215" s="557"/>
      <c r="K215" s="557"/>
      <c r="L215" s="557"/>
      <c r="M215" s="557"/>
      <c r="N215" s="557"/>
      <c r="O215" s="557"/>
      <c r="P215" s="557"/>
      <c r="Q215" s="557"/>
      <c r="R215" s="186"/>
    </row>
    <row r="216" spans="1:30" x14ac:dyDescent="0.2">
      <c r="A216" s="556"/>
      <c r="B216" s="557"/>
      <c r="C216" s="557"/>
      <c r="D216" s="557"/>
      <c r="E216" s="557"/>
      <c r="F216" s="557"/>
      <c r="G216" s="557"/>
      <c r="H216" s="557"/>
      <c r="I216" s="557"/>
      <c r="J216" s="557"/>
      <c r="K216" s="557"/>
      <c r="L216" s="557"/>
      <c r="M216" s="557"/>
      <c r="N216" s="557"/>
      <c r="O216" s="557"/>
      <c r="P216" s="557"/>
      <c r="Q216" s="557"/>
      <c r="R216" s="186"/>
    </row>
    <row r="217" spans="1:30" x14ac:dyDescent="0.2">
      <c r="A217" s="556"/>
      <c r="B217" s="557"/>
      <c r="C217" s="557"/>
      <c r="D217" s="557"/>
      <c r="E217" s="557"/>
      <c r="F217" s="557"/>
      <c r="G217" s="557"/>
      <c r="H217" s="557"/>
      <c r="I217" s="557"/>
      <c r="J217" s="557"/>
      <c r="K217" s="557"/>
      <c r="L217" s="557"/>
      <c r="M217" s="557"/>
      <c r="N217" s="557"/>
      <c r="O217" s="557"/>
      <c r="P217" s="557"/>
      <c r="Q217" s="557"/>
      <c r="R217" s="186"/>
    </row>
    <row r="218" spans="1:30" ht="12" thickBot="1" x14ac:dyDescent="0.25">
      <c r="A218" s="558"/>
      <c r="B218" s="559"/>
      <c r="C218" s="559"/>
      <c r="D218" s="559"/>
      <c r="E218" s="559"/>
      <c r="F218" s="559"/>
      <c r="G218" s="559"/>
      <c r="H218" s="559"/>
      <c r="I218" s="559"/>
      <c r="J218" s="559"/>
      <c r="K218" s="559"/>
      <c r="L218" s="559"/>
      <c r="M218" s="559"/>
      <c r="N218" s="559"/>
      <c r="O218" s="559"/>
      <c r="P218" s="559"/>
      <c r="Q218" s="559"/>
      <c r="R218" s="186"/>
    </row>
    <row r="219" spans="1:30" ht="12.75" thickBot="1" x14ac:dyDescent="0.25">
      <c r="A219" s="1200" t="s">
        <v>417</v>
      </c>
      <c r="B219" s="1201"/>
      <c r="C219" s="1201"/>
      <c r="D219" s="1201"/>
      <c r="E219" s="1201"/>
      <c r="F219" s="1201"/>
      <c r="G219" s="1201"/>
      <c r="H219" s="1201"/>
      <c r="I219" s="1201"/>
      <c r="J219" s="1201"/>
      <c r="K219" s="1201"/>
      <c r="L219" s="1201"/>
      <c r="M219" s="1202"/>
    </row>
    <row r="220" spans="1:30" x14ac:dyDescent="0.2">
      <c r="A220" s="1248" t="s">
        <v>86</v>
      </c>
      <c r="B220" s="1249"/>
      <c r="C220" s="1249"/>
      <c r="D220" s="1249"/>
      <c r="E220" s="1250"/>
      <c r="F220" s="1206" t="s">
        <v>125</v>
      </c>
      <c r="G220" s="1207"/>
      <c r="H220" s="1205">
        <f>343.7^2/2/PI()/(J86/1000)*SQRT(12*J87/J88)</f>
        <v>137.49873002861955</v>
      </c>
      <c r="I220" s="1205"/>
      <c r="J220" s="592" t="s">
        <v>126</v>
      </c>
      <c r="K220" s="611"/>
      <c r="L220" s="611"/>
      <c r="M220" s="36"/>
    </row>
    <row r="221" spans="1:30" x14ac:dyDescent="0.2">
      <c r="A221" s="1246" t="s">
        <v>183</v>
      </c>
      <c r="B221" s="1247"/>
      <c r="C221" s="34" t="s">
        <v>127</v>
      </c>
      <c r="D221" s="38" t="s">
        <v>128</v>
      </c>
      <c r="E221" s="40" t="s">
        <v>129</v>
      </c>
      <c r="F221" s="40" t="s">
        <v>130</v>
      </c>
      <c r="G221" s="41" t="s">
        <v>131</v>
      </c>
      <c r="H221" s="42" t="s">
        <v>132</v>
      </c>
      <c r="I221" s="1257" t="s">
        <v>349</v>
      </c>
      <c r="J221" s="1258"/>
      <c r="K221" s="1258"/>
      <c r="L221" s="1258"/>
      <c r="M221" s="183">
        <v>2</v>
      </c>
    </row>
    <row r="222" spans="1:30" x14ac:dyDescent="0.2">
      <c r="A222" s="1203" t="s">
        <v>184</v>
      </c>
      <c r="B222" s="1204"/>
      <c r="C222" s="43">
        <v>-7</v>
      </c>
      <c r="D222" s="597">
        <v>-2</v>
      </c>
      <c r="E222" s="597">
        <v>0</v>
      </c>
      <c r="F222" s="597">
        <v>0</v>
      </c>
      <c r="G222" s="597">
        <v>0</v>
      </c>
      <c r="H222" s="597">
        <v>0</v>
      </c>
      <c r="I222" s="1259" t="s">
        <v>87</v>
      </c>
      <c r="J222" s="1260"/>
      <c r="K222" s="1260"/>
      <c r="L222" s="181">
        <f>J86</f>
        <v>146.6322265336799</v>
      </c>
      <c r="M222" s="33" t="s">
        <v>4</v>
      </c>
    </row>
    <row r="223" spans="1:30" x14ac:dyDescent="0.2">
      <c r="A223" s="1235" t="s">
        <v>185</v>
      </c>
      <c r="B223" s="1236"/>
      <c r="C223" s="43">
        <v>-6</v>
      </c>
      <c r="D223" s="597">
        <v>-1</v>
      </c>
      <c r="E223" s="597">
        <v>0</v>
      </c>
      <c r="F223" s="597">
        <v>0</v>
      </c>
      <c r="G223" s="597">
        <v>0</v>
      </c>
      <c r="H223" s="597">
        <v>0</v>
      </c>
      <c r="I223" s="182"/>
      <c r="J223" s="35" t="s">
        <v>351</v>
      </c>
      <c r="K223" s="35" t="s">
        <v>352</v>
      </c>
      <c r="L223" s="35" t="s">
        <v>350</v>
      </c>
      <c r="M223" s="184" t="s">
        <v>353</v>
      </c>
    </row>
    <row r="224" spans="1:30" x14ac:dyDescent="0.2">
      <c r="A224" s="1235" t="s">
        <v>186</v>
      </c>
      <c r="B224" s="1236"/>
      <c r="C224" s="43">
        <v>-5</v>
      </c>
      <c r="D224" s="597">
        <v>0</v>
      </c>
      <c r="E224" s="597">
        <v>0</v>
      </c>
      <c r="F224" s="597">
        <v>0</v>
      </c>
      <c r="G224" s="597">
        <v>0</v>
      </c>
      <c r="H224" s="597">
        <v>0</v>
      </c>
      <c r="I224" s="39" t="s">
        <v>470</v>
      </c>
      <c r="J224" s="177"/>
      <c r="K224" s="177"/>
      <c r="L224" s="177">
        <f t="shared" ref="L224:L230" si="19">M273</f>
        <v>-10.054936339598521</v>
      </c>
      <c r="M224" s="178">
        <f t="shared" ref="M224" si="20">IF($M$221=2,L224,IF($L$222&lt;=300,J224,K224))</f>
        <v>-10.054936339598521</v>
      </c>
    </row>
    <row r="225" spans="1:15" x14ac:dyDescent="0.2">
      <c r="A225" s="1235" t="s">
        <v>187</v>
      </c>
      <c r="B225" s="1236"/>
      <c r="C225" s="43">
        <v>-4</v>
      </c>
      <c r="D225" s="597">
        <v>0</v>
      </c>
      <c r="E225" s="597">
        <v>0</v>
      </c>
      <c r="F225" s="597">
        <v>0</v>
      </c>
      <c r="G225" s="597">
        <v>0</v>
      </c>
      <c r="H225" s="597">
        <v>0</v>
      </c>
      <c r="I225" s="39" t="s">
        <v>133</v>
      </c>
      <c r="J225" s="177">
        <f>IF($L$222&lt;=120,C222,IF($L$222&lt;=130,C223,IF($L$222&lt;=150,C224,IF($L$222&lt;=180,C225,IF($L$222&lt;=200,C226,IF($L$222&lt;=230,C227,IF($L$222&lt;=250,C228,C229)))))))</f>
        <v>-5</v>
      </c>
      <c r="K225" s="177">
        <v>0</v>
      </c>
      <c r="L225" s="177">
        <f t="shared" si="19"/>
        <v>-6.4823481473860021</v>
      </c>
      <c r="M225" s="178">
        <f t="shared" ref="M225:M230" si="21">IF($M$221=2,L225,IF($L$222&lt;=300,J225,K225))</f>
        <v>-6.4823481473860021</v>
      </c>
    </row>
    <row r="226" spans="1:15" x14ac:dyDescent="0.2">
      <c r="A226" s="1235" t="s">
        <v>188</v>
      </c>
      <c r="B226" s="1236"/>
      <c r="C226" s="43">
        <v>-3</v>
      </c>
      <c r="D226" s="597">
        <v>0</v>
      </c>
      <c r="E226" s="597">
        <v>0</v>
      </c>
      <c r="F226" s="597">
        <v>0</v>
      </c>
      <c r="G226" s="597">
        <v>0</v>
      </c>
      <c r="H226" s="597">
        <v>0</v>
      </c>
      <c r="I226" s="39" t="s">
        <v>134</v>
      </c>
      <c r="J226" s="177">
        <f>IF($L$222&lt;=120,D222,IF($L$222&lt;=130,D223,IF($L$222&lt;=150,D224,IF($L$222&lt;=180,D225,IF($L$222&lt;=200,D226,IF($L$222&lt;=230,D227,IF($L$222&lt;=250,D228,D229)))))))</f>
        <v>0</v>
      </c>
      <c r="K226" s="177">
        <v>0</v>
      </c>
      <c r="L226" s="177">
        <f t="shared" si="19"/>
        <v>-1.5411827372019327</v>
      </c>
      <c r="M226" s="178">
        <f t="shared" si="21"/>
        <v>-1.5411827372019327</v>
      </c>
    </row>
    <row r="227" spans="1:15" x14ac:dyDescent="0.2">
      <c r="A227" s="1235" t="s">
        <v>189</v>
      </c>
      <c r="B227" s="1236"/>
      <c r="C227" s="43">
        <v>-2</v>
      </c>
      <c r="D227" s="597">
        <v>0</v>
      </c>
      <c r="E227" s="597">
        <v>0</v>
      </c>
      <c r="F227" s="597">
        <v>0</v>
      </c>
      <c r="G227" s="597">
        <v>0</v>
      </c>
      <c r="H227" s="597">
        <v>0</v>
      </c>
      <c r="I227" s="39" t="s">
        <v>135</v>
      </c>
      <c r="J227" s="177">
        <f>IF($L$222&lt;=120,E222,IF($L$222&lt;=130,E223,IF($L$222&lt;=150,E224,IF($L$222&lt;=180,E225,IF($L$222&lt;=200,E226,IF($L$222&lt;=230,E227,IF($L$222&lt;=250,E228,E229)))))))</f>
        <v>0</v>
      </c>
      <c r="K227" s="177">
        <v>0</v>
      </c>
      <c r="L227" s="177">
        <f t="shared" si="19"/>
        <v>-0.16984606480783637</v>
      </c>
      <c r="M227" s="178">
        <f t="shared" si="21"/>
        <v>-0.16984606480783637</v>
      </c>
    </row>
    <row r="228" spans="1:15" x14ac:dyDescent="0.2">
      <c r="A228" s="1235" t="s">
        <v>190</v>
      </c>
      <c r="B228" s="1236"/>
      <c r="C228" s="43">
        <v>-2</v>
      </c>
      <c r="D228" s="597">
        <v>0</v>
      </c>
      <c r="E228" s="597">
        <v>0</v>
      </c>
      <c r="F228" s="597">
        <v>0</v>
      </c>
      <c r="G228" s="597">
        <v>0</v>
      </c>
      <c r="H228" s="597">
        <v>0</v>
      </c>
      <c r="I228" s="39" t="s">
        <v>136</v>
      </c>
      <c r="J228" s="177">
        <f>IF($L$222&lt;=120,F222,IF($L$222&lt;=130,F223,IF($L$222&lt;=150,F224,IF($L$222&lt;=180,F225,IF($L$222&lt;=200,F226,IF($L$222&lt;=230,F227,IF($L$222&lt;=250,F228,F229)))))))</f>
        <v>0</v>
      </c>
      <c r="K228" s="177">
        <v>0</v>
      </c>
      <c r="L228" s="177">
        <f t="shared" si="19"/>
        <v>0</v>
      </c>
      <c r="M228" s="178">
        <f t="shared" si="21"/>
        <v>0</v>
      </c>
      <c r="O228" s="44"/>
    </row>
    <row r="229" spans="1:15" x14ac:dyDescent="0.2">
      <c r="A229" s="1235" t="s">
        <v>191</v>
      </c>
      <c r="B229" s="1236"/>
      <c r="C229" s="43">
        <v>-1</v>
      </c>
      <c r="D229" s="597">
        <v>0</v>
      </c>
      <c r="E229" s="597">
        <v>0</v>
      </c>
      <c r="F229" s="597">
        <v>0</v>
      </c>
      <c r="G229" s="597">
        <v>0</v>
      </c>
      <c r="H229" s="597">
        <v>0</v>
      </c>
      <c r="I229" s="39" t="s">
        <v>137</v>
      </c>
      <c r="J229" s="177">
        <f>IF($L$222&lt;=120,G222,IF($L$222&lt;=130,G223,IF($L$222&lt;=150,G224,IF($L$222&lt;=180,G225,IF($L$222&lt;=200,G226,IF($L$222&lt;=230,G227,IF($L$222&lt;=250,G228,G229)))))))</f>
        <v>0</v>
      </c>
      <c r="K229" s="177">
        <v>0</v>
      </c>
      <c r="L229" s="177">
        <f t="shared" si="19"/>
        <v>0</v>
      </c>
      <c r="M229" s="178">
        <f t="shared" si="21"/>
        <v>0</v>
      </c>
      <c r="O229" s="44"/>
    </row>
    <row r="230" spans="1:15" ht="13.9" customHeight="1" thickBot="1" x14ac:dyDescent="0.25">
      <c r="A230" s="1251" t="s">
        <v>192</v>
      </c>
      <c r="B230" s="1252"/>
      <c r="C230" s="45">
        <v>0</v>
      </c>
      <c r="D230" s="603">
        <v>0</v>
      </c>
      <c r="E230" s="603">
        <v>0</v>
      </c>
      <c r="F230" s="603">
        <v>0</v>
      </c>
      <c r="G230" s="603">
        <v>0</v>
      </c>
      <c r="H230" s="603">
        <v>0</v>
      </c>
      <c r="I230" s="176" t="s">
        <v>138</v>
      </c>
      <c r="J230" s="179">
        <f>IF($L$222&lt;=120,H222,IF($L$222&lt;=130,H223,IF($L$222&lt;=150,H224,IF($L$222&lt;=180,H225,IF($L$222&lt;=200,H226,IF($L$222&lt;=230,H227,IF($L$222&lt;=250,H228,H229)))))))</f>
        <v>0</v>
      </c>
      <c r="K230" s="179">
        <v>0</v>
      </c>
      <c r="L230" s="179">
        <f t="shared" si="19"/>
        <v>0</v>
      </c>
      <c r="M230" s="180">
        <f t="shared" si="21"/>
        <v>0</v>
      </c>
      <c r="O230" s="44"/>
    </row>
    <row r="231" spans="1:15" ht="13.9" customHeight="1" x14ac:dyDescent="0.2">
      <c r="A231" s="157"/>
      <c r="B231" s="147"/>
      <c r="C231" s="147"/>
      <c r="D231" s="158"/>
      <c r="E231" s="159"/>
      <c r="F231" s="159"/>
      <c r="G231" s="159">
        <v>31.5</v>
      </c>
      <c r="H231" s="148">
        <v>63</v>
      </c>
      <c r="I231" s="148">
        <v>125</v>
      </c>
      <c r="J231" s="148">
        <v>250</v>
      </c>
      <c r="K231" s="148">
        <v>500</v>
      </c>
      <c r="L231" s="148">
        <v>1000</v>
      </c>
      <c r="M231" s="149">
        <v>2000</v>
      </c>
      <c r="O231" s="44"/>
    </row>
    <row r="232" spans="1:15" ht="13.9" customHeight="1" thickBot="1" x14ac:dyDescent="0.25">
      <c r="A232" s="1255" t="s">
        <v>430</v>
      </c>
      <c r="B232" s="1256"/>
      <c r="C232" s="1256"/>
      <c r="D232" s="1262" t="s">
        <v>426</v>
      </c>
      <c r="E232" s="1262"/>
      <c r="F232" s="227"/>
      <c r="G232" s="228">
        <f>M224</f>
        <v>-10.054936339598521</v>
      </c>
      <c r="H232" s="228">
        <f>M225</f>
        <v>-6.4823481473860021</v>
      </c>
      <c r="I232" s="228">
        <f>M226</f>
        <v>-1.5411827372019327</v>
      </c>
      <c r="J232" s="228">
        <f>M227</f>
        <v>-0.16984606480783637</v>
      </c>
      <c r="K232" s="228">
        <f>M228</f>
        <v>0</v>
      </c>
      <c r="L232" s="228">
        <f>M229</f>
        <v>0</v>
      </c>
      <c r="M232" s="229">
        <f>M230</f>
        <v>0</v>
      </c>
      <c r="O232" s="44"/>
    </row>
    <row r="233" spans="1:15" ht="13.9" customHeight="1" thickBot="1" x14ac:dyDescent="0.25">
      <c r="A233" s="1253" t="s">
        <v>425</v>
      </c>
      <c r="B233" s="1254"/>
      <c r="C233" s="1254"/>
      <c r="D233" s="1261" t="s">
        <v>426</v>
      </c>
      <c r="E233" s="1261"/>
      <c r="F233" s="223"/>
      <c r="G233" s="332" t="s">
        <v>477</v>
      </c>
      <c r="H233" s="230">
        <f>IF($L$222&lt;=300,J225,K225)</f>
        <v>-5</v>
      </c>
      <c r="I233" s="230">
        <f>IF($L$222&lt;=300,J226,K226)</f>
        <v>0</v>
      </c>
      <c r="J233" s="230">
        <f>IF($L$222&lt;=300,J227,K227)</f>
        <v>0</v>
      </c>
      <c r="K233" s="230">
        <f>IF($L$222&lt;=300,J228,K228)</f>
        <v>0</v>
      </c>
      <c r="L233" s="230">
        <f>IF($L$222&lt;=300,J229,K229)</f>
        <v>0</v>
      </c>
      <c r="M233" s="231">
        <f>IF($L$222&lt;=300,J230,K230)</f>
        <v>0</v>
      </c>
      <c r="O233" s="44"/>
    </row>
    <row r="234" spans="1:15" ht="13.5" thickBot="1" x14ac:dyDescent="0.25">
      <c r="A234" s="1200" t="s">
        <v>418</v>
      </c>
      <c r="B234" s="1226"/>
      <c r="C234" s="1226"/>
      <c r="D234" s="1226"/>
      <c r="E234" s="1226"/>
      <c r="F234" s="1226"/>
      <c r="G234" s="1226"/>
      <c r="H234" s="1226"/>
      <c r="I234" s="1226"/>
      <c r="J234" s="1226"/>
      <c r="K234" s="1226"/>
      <c r="L234" s="1226"/>
      <c r="M234" s="1227"/>
      <c r="O234" s="44"/>
    </row>
    <row r="235" spans="1:15" ht="12.75" customHeight="1" thickBot="1" x14ac:dyDescent="0.25">
      <c r="A235" s="351" t="s">
        <v>510</v>
      </c>
      <c r="B235" s="3" t="str">
        <f>IF(INPUT!E51=1,MID(INPUT!A52,4,25),IF(INPUT!E51=2,MID(INPUT!A53,4,25),IF(INPUT!E51=3,MID(INPUT!A54,4,25),IF(INPUT!E51=4,MID(INPUT!A55,4,25),"-"))))</f>
        <v xml:space="preserve"> フローリング仕上げ</v>
      </c>
      <c r="C235" s="3"/>
      <c r="D235" s="3"/>
      <c r="E235" s="3"/>
      <c r="F235" s="3"/>
      <c r="G235" s="5"/>
      <c r="H235" s="4"/>
      <c r="I235" s="4"/>
      <c r="J235" s="242"/>
      <c r="K235" s="242"/>
      <c r="L235" s="374"/>
      <c r="M235" s="374"/>
      <c r="N235" s="374"/>
      <c r="O235" s="44"/>
    </row>
    <row r="236" spans="1:15" ht="15" thickBot="1" x14ac:dyDescent="0.25">
      <c r="A236" s="357"/>
      <c r="B236" s="343" t="s">
        <v>501</v>
      </c>
      <c r="C236" s="343" t="s">
        <v>502</v>
      </c>
      <c r="D236" s="343" t="s">
        <v>503</v>
      </c>
      <c r="E236" s="343" t="s">
        <v>504</v>
      </c>
      <c r="F236" s="344" t="s">
        <v>505</v>
      </c>
      <c r="G236" s="5"/>
      <c r="H236" s="1127" t="s">
        <v>528</v>
      </c>
      <c r="I236" s="1128"/>
      <c r="J236" s="1128"/>
      <c r="K236" s="1128"/>
      <c r="L236" s="1128"/>
      <c r="M236" s="1128"/>
      <c r="N236" s="1129"/>
      <c r="O236" s="44"/>
    </row>
    <row r="237" spans="1:15" ht="14.25" x14ac:dyDescent="0.2">
      <c r="A237" s="352" t="s">
        <v>511</v>
      </c>
      <c r="B237" s="353">
        <f>'Result_重量床衝撃音 (31.5Hz)'!I14</f>
        <v>0.09</v>
      </c>
      <c r="C237" s="353">
        <f>'Result_重量床衝撃音 (31.5Hz)'!J14</f>
        <v>0.09</v>
      </c>
      <c r="D237" s="353">
        <f>'Result_重量床衝撃音 (31.5Hz)'!K14</f>
        <v>0.09</v>
      </c>
      <c r="E237" s="353">
        <f>'Result_重量床衝撃音 (31.5Hz)'!L14</f>
        <v>0.08</v>
      </c>
      <c r="F237" s="354">
        <f>'Result_重量床衝撃音 (31.5Hz)'!M14</f>
        <v>7.0000000000000007E-2</v>
      </c>
      <c r="G237" s="5"/>
      <c r="H237" s="1130"/>
      <c r="I237" s="510">
        <f>IF(INPUT!$N$21&lt;&gt;"木村・井上式（1988）",IF(INPUT!$E$51&lt;&gt;4,IF(INPUT!$E$51=1,I239,IF(INPUT!$E$51=2,I240,IF(INPUT!$E$51=3,I241,"-"))),"-"),IF(INPUT!$E$51=4,I242,"-"))</f>
        <v>0.09</v>
      </c>
      <c r="J237" s="510">
        <f>IF(INPUT!$N$21&lt;&gt;"木村・井上式（1988）",IF(INPUT!$E$51&lt;&gt;4,IF(INPUT!$E$51=1,J239,IF(INPUT!$E$51=2,J240,IF(INPUT!$E$51=3,J241,"-"))),"-"),IF(INPUT!$E$51=4,J242,"-"))</f>
        <v>0.09</v>
      </c>
      <c r="K237" s="510">
        <f>IF(INPUT!$N$21&lt;&gt;"木村・井上式（1988）",IF(INPUT!$E$51&lt;&gt;4,IF(INPUT!$E$51=1,K239,IF(INPUT!$E$51=2,K240,IF(INPUT!$E$51=3,K241,"-"))),"-"),IF(INPUT!$E$51=4,K242,"-"))</f>
        <v>0.08</v>
      </c>
      <c r="L237" s="510">
        <f>IF(INPUT!$N$21&lt;&gt;"木村・井上式（1988）",IF(INPUT!$E$51&lt;&gt;4,IF(INPUT!$E$51=1,L239,IF(INPUT!$E$51=2,L240,IF(INPUT!$E$51=3,L241,"-"))),"-"),IF(INPUT!$E$51=4,L242,"-"))</f>
        <v>7.0000000000000007E-2</v>
      </c>
      <c r="M237" s="510">
        <f>IF(INPUT!$N$21&lt;&gt;"木村・井上式（1988）",IF(INPUT!$E$51&lt;&gt;4,IF(INPUT!$E$51=1,M239,IF(INPUT!$E$51=2,M240,IF(INPUT!$E$51=3,M241,"-"))),"-"),IF(INPUT!$E$51=4,M242,"-"))</f>
        <v>7.0000000000000007E-2</v>
      </c>
      <c r="N237" s="511">
        <f>IF(INPUT!$N$21&lt;&gt;"木村・井上式（1988）",IF(INPUT!$E$51&lt;&gt;4,IF(INPUT!$E$51=1,N239,IF(INPUT!$E$51=2,N240,IF(INPUT!$E$51=3,N241,"-"))),"-"),IF(INPUT!$E$51=4,N242,"-"))</f>
        <v>0.08</v>
      </c>
      <c r="O237" s="44"/>
    </row>
    <row r="238" spans="1:15" ht="15" thickBot="1" x14ac:dyDescent="0.25">
      <c r="A238" s="358" t="s">
        <v>510</v>
      </c>
      <c r="B238" s="355">
        <f>B237*$B$240</f>
        <v>9.2249999999999996</v>
      </c>
      <c r="C238" s="355">
        <f>C237*$B$240</f>
        <v>9.2249999999999996</v>
      </c>
      <c r="D238" s="355">
        <f>D237*$B$240</f>
        <v>9.2249999999999996</v>
      </c>
      <c r="E238" s="355">
        <f>E237*$B$240</f>
        <v>8.1999999999999993</v>
      </c>
      <c r="F238" s="356">
        <f>F237*$B$240</f>
        <v>7.1750000000000007</v>
      </c>
      <c r="G238" s="5"/>
      <c r="H238" s="1131"/>
      <c r="I238" s="523" t="s">
        <v>522</v>
      </c>
      <c r="J238" s="523" t="s">
        <v>523</v>
      </c>
      <c r="K238" s="523" t="s">
        <v>524</v>
      </c>
      <c r="L238" s="523" t="s">
        <v>525</v>
      </c>
      <c r="M238" s="523" t="s">
        <v>526</v>
      </c>
      <c r="N238" s="524" t="s">
        <v>527</v>
      </c>
      <c r="O238" s="44"/>
    </row>
    <row r="239" spans="1:15" ht="12.75" x14ac:dyDescent="0.2">
      <c r="A239" s="5"/>
      <c r="B239" s="5"/>
      <c r="C239" s="5"/>
      <c r="D239" s="5"/>
      <c r="E239" s="5"/>
      <c r="F239" s="5"/>
      <c r="G239" s="5"/>
      <c r="H239" s="525" t="s">
        <v>519</v>
      </c>
      <c r="I239" s="504">
        <v>0.09</v>
      </c>
      <c r="J239" s="504">
        <v>0.09</v>
      </c>
      <c r="K239" s="504">
        <v>0.08</v>
      </c>
      <c r="L239" s="504">
        <v>7.0000000000000007E-2</v>
      </c>
      <c r="M239" s="504">
        <v>7.0000000000000007E-2</v>
      </c>
      <c r="N239" s="506">
        <v>0.08</v>
      </c>
      <c r="O239" s="44"/>
    </row>
    <row r="240" spans="1:15" ht="12.75" x14ac:dyDescent="0.2">
      <c r="A240" s="10" t="s">
        <v>604</v>
      </c>
      <c r="B240" s="5">
        <f>INPUT!G52*2+INPUT!K52*INPUT!O52/1000</f>
        <v>102.5</v>
      </c>
      <c r="C240" s="5"/>
      <c r="D240" s="5"/>
      <c r="E240" s="5"/>
      <c r="F240" s="5"/>
      <c r="G240" s="5"/>
      <c r="H240" s="525" t="s">
        <v>520</v>
      </c>
      <c r="I240" s="504">
        <v>0.1</v>
      </c>
      <c r="J240" s="504">
        <v>0.11</v>
      </c>
      <c r="K240" s="504">
        <v>0.11</v>
      </c>
      <c r="L240" s="504">
        <v>0.15</v>
      </c>
      <c r="M240" s="504">
        <v>0.11</v>
      </c>
      <c r="N240" s="506">
        <v>0.1</v>
      </c>
    </row>
    <row r="241" spans="1:27" ht="12.75" x14ac:dyDescent="0.2">
      <c r="A241" s="5"/>
      <c r="B241" s="5"/>
      <c r="C241" s="5"/>
      <c r="D241" s="5"/>
      <c r="E241" s="5"/>
      <c r="F241" s="5"/>
      <c r="G241" s="5"/>
      <c r="H241" s="525" t="s">
        <v>521</v>
      </c>
      <c r="I241" s="504">
        <v>7.0000000000000007E-2</v>
      </c>
      <c r="J241" s="504">
        <v>0.1</v>
      </c>
      <c r="K241" s="504">
        <v>0.13</v>
      </c>
      <c r="L241" s="504">
        <v>0.12</v>
      </c>
      <c r="M241" s="504">
        <v>0.11</v>
      </c>
      <c r="N241" s="506">
        <v>0.11</v>
      </c>
    </row>
    <row r="242" spans="1:27" ht="13.5" thickBot="1" x14ac:dyDescent="0.25">
      <c r="A242" s="5"/>
      <c r="B242" s="5"/>
      <c r="C242" s="5"/>
      <c r="D242" s="5"/>
      <c r="E242" s="5"/>
      <c r="F242" s="5"/>
      <c r="G242" s="5"/>
      <c r="H242" s="513" t="s">
        <v>589</v>
      </c>
      <c r="I242" s="526">
        <v>0.2</v>
      </c>
      <c r="J242" s="526">
        <v>0.2</v>
      </c>
      <c r="K242" s="526">
        <v>0.2</v>
      </c>
      <c r="L242" s="526">
        <v>0.2</v>
      </c>
      <c r="M242" s="526">
        <v>0.2</v>
      </c>
      <c r="N242" s="527">
        <v>0.2</v>
      </c>
    </row>
    <row r="243" spans="1:27" ht="12.75" x14ac:dyDescent="0.2">
      <c r="A243" s="5"/>
      <c r="B243" s="5"/>
      <c r="C243" s="5"/>
      <c r="D243" s="5"/>
      <c r="E243" s="5"/>
      <c r="F243" s="5"/>
      <c r="G243" s="5"/>
      <c r="H243" s="5"/>
      <c r="I243" s="5"/>
      <c r="J243" s="5"/>
      <c r="K243" s="5"/>
      <c r="L243" s="5"/>
      <c r="M243" s="5"/>
      <c r="N243" s="5"/>
    </row>
    <row r="244" spans="1:27" ht="12" thickBot="1" x14ac:dyDescent="0.25">
      <c r="A244" s="558"/>
      <c r="B244" s="542"/>
      <c r="C244" s="542"/>
      <c r="D244" s="542"/>
      <c r="E244" s="542"/>
      <c r="F244" s="542"/>
      <c r="G244" s="542"/>
      <c r="H244" s="211"/>
      <c r="I244" s="534"/>
      <c r="J244" s="542"/>
      <c r="K244" s="568"/>
      <c r="L244" s="568"/>
      <c r="M244" s="539"/>
    </row>
    <row r="245" spans="1:27" ht="14.25" thickBot="1" x14ac:dyDescent="0.25">
      <c r="A245" s="1241" t="s">
        <v>419</v>
      </c>
      <c r="B245" s="1242"/>
      <c r="C245" s="1242"/>
      <c r="D245" s="1242"/>
      <c r="E245" s="1242"/>
      <c r="F245" s="1242"/>
      <c r="G245" s="1242"/>
      <c r="H245" s="1242"/>
      <c r="I245" s="1242"/>
      <c r="J245" s="1242"/>
      <c r="K245" s="1242"/>
      <c r="L245" s="1242"/>
      <c r="M245" s="1243"/>
      <c r="P245" s="579" t="s">
        <v>625</v>
      </c>
      <c r="Q245" s="580"/>
      <c r="R245" s="580"/>
      <c r="S245" s="581"/>
      <c r="T245" s="581"/>
      <c r="U245" s="581"/>
      <c r="V245" s="581"/>
      <c r="W245" s="581"/>
      <c r="X245" s="581"/>
      <c r="Y245" s="581"/>
      <c r="Z245" s="581"/>
      <c r="AA245" s="582"/>
    </row>
    <row r="246" spans="1:27" ht="14.25" x14ac:dyDescent="0.2">
      <c r="A246" s="157"/>
      <c r="B246" s="147"/>
      <c r="C246" s="147"/>
      <c r="D246" s="158"/>
      <c r="E246" s="159"/>
      <c r="F246" s="330">
        <v>31.5</v>
      </c>
      <c r="G246" s="148">
        <v>63</v>
      </c>
      <c r="H246" s="148">
        <v>125</v>
      </c>
      <c r="I246" s="148">
        <v>250</v>
      </c>
      <c r="J246" s="148">
        <v>500</v>
      </c>
      <c r="K246" s="148">
        <v>1000</v>
      </c>
      <c r="L246" s="148">
        <v>2000</v>
      </c>
      <c r="M246" s="149">
        <v>4000</v>
      </c>
      <c r="P246" s="583" t="s">
        <v>622</v>
      </c>
      <c r="Q246" s="577"/>
      <c r="R246" s="577"/>
      <c r="S246" s="577"/>
      <c r="T246" s="578" t="s">
        <v>621</v>
      </c>
      <c r="U246" s="577"/>
      <c r="V246" s="577"/>
      <c r="W246" s="578" t="s">
        <v>623</v>
      </c>
      <c r="X246" s="577"/>
      <c r="Y246" s="577"/>
      <c r="Z246" s="578" t="s">
        <v>624</v>
      </c>
      <c r="AA246" s="584"/>
    </row>
    <row r="247" spans="1:27" ht="15" thickBot="1" x14ac:dyDescent="0.25">
      <c r="A247" s="1244" t="s">
        <v>430</v>
      </c>
      <c r="B247" s="1245"/>
      <c r="C247" s="1245"/>
      <c r="D247" s="328"/>
      <c r="E247" s="328"/>
      <c r="F247" s="329">
        <v>5.2</v>
      </c>
      <c r="G247" s="189">
        <v>5.2</v>
      </c>
      <c r="H247" s="189">
        <v>5.2</v>
      </c>
      <c r="I247" s="189">
        <v>5.2</v>
      </c>
      <c r="J247" s="189">
        <v>5.2</v>
      </c>
      <c r="K247" s="189"/>
      <c r="L247" s="189"/>
      <c r="M247" s="190"/>
      <c r="N247" s="188"/>
      <c r="P247" s="583" t="s">
        <v>615</v>
      </c>
      <c r="Q247" s="577" t="str">
        <f>IF(INPUT!$N$21="大脇・山下式2021",IF(MAX(P248:Q252)&gt;=1,"NG","OK"),IF(MIN(P248:Q252)&gt;=3,"OK","NG"))</f>
        <v>OK</v>
      </c>
      <c r="R247" s="577"/>
      <c r="S247" s="577"/>
      <c r="T247" s="578" t="s">
        <v>615</v>
      </c>
      <c r="U247" s="577" t="str">
        <f>IF(COUNTIF(P248:Q252,-1)&lt;4,"OK",IF(COUNTIF(P248:Q252,4)&lt;4,"OK","NG"))</f>
        <v>OK</v>
      </c>
      <c r="V247" s="577"/>
      <c r="W247" s="578" t="s">
        <v>615</v>
      </c>
      <c r="X247" s="577" t="str">
        <f>IF(INPUT!N21="大脇・山下式2021",IF(INPUT!E51=1,"OK",IF(INPUT!E51=2,"OK",IF(INPUT!E51=3,"OK","NG"))),IF(INPUT!E51=4,"OK","NG"))</f>
        <v>OK</v>
      </c>
      <c r="Y247" s="577"/>
      <c r="Z247" s="577" t="str">
        <f>IF(COUNTIF(P247:X247,"NG")&gt;=1,"NG","OK")</f>
        <v>OK</v>
      </c>
      <c r="AA247" s="584"/>
    </row>
    <row r="248" spans="1:27" ht="12.75" customHeight="1" thickBot="1" x14ac:dyDescent="0.25">
      <c r="A248" s="1253" t="s">
        <v>425</v>
      </c>
      <c r="B248" s="1254"/>
      <c r="C248" s="1254"/>
      <c r="D248" s="223"/>
      <c r="E248" s="223"/>
      <c r="F248" s="226">
        <v>10</v>
      </c>
      <c r="G248" s="224">
        <v>9.8000000000000007</v>
      </c>
      <c r="H248" s="224">
        <v>8.3000000000000007</v>
      </c>
      <c r="I248" s="224">
        <v>6.5</v>
      </c>
      <c r="J248" s="224">
        <v>5.6</v>
      </c>
      <c r="K248" s="224">
        <v>4.9000000000000004</v>
      </c>
      <c r="L248" s="224">
        <v>4.9000000000000004</v>
      </c>
      <c r="M248" s="225">
        <v>4.9000000000000004</v>
      </c>
      <c r="N248" s="188"/>
      <c r="P248" s="585">
        <f>IF(INPUT!D26&lt;&gt;"",IF(INPUT!$N$21="大脇・山下式2021",IF(INPUT!D26&lt;&gt;8,IF(INPUT!D26&lt;&gt;9,0,1),1),IF(INPUT!D26&lt;&gt;8,IF(INPUT!D26&lt;&gt;9,2,3),3)),IF(INPUT!$N$21="大脇・山下式2021",-1,4))</f>
        <v>0</v>
      </c>
      <c r="Q248" s="577">
        <f>IF(INPUT!J26&lt;&gt;"",IF(INPUT!$N$21="大脇・山下式2021",IF(INPUT!J26&lt;&gt;8,IF(INPUT!J26&lt;&gt;9,0,1),1),IF(INPUT!J26&lt;&gt;8,IF(INPUT!J26&lt;&gt;9,2,3),3)),IF(INPUT!$N$21="大脇・山下式2021",-1,4))</f>
        <v>0</v>
      </c>
      <c r="R248" s="577"/>
      <c r="S248" s="577"/>
      <c r="T248" s="578" t="s">
        <v>619</v>
      </c>
      <c r="U248" s="577"/>
      <c r="V248" s="577"/>
      <c r="W248" s="577"/>
      <c r="X248" s="577"/>
      <c r="Y248" s="577"/>
      <c r="Z248" s="577"/>
      <c r="AA248" s="584"/>
    </row>
    <row r="249" spans="1:27" ht="14.25" x14ac:dyDescent="0.2">
      <c r="A249" s="212"/>
      <c r="B249" s="213"/>
      <c r="C249" s="213"/>
      <c r="D249" s="214"/>
      <c r="E249" s="214"/>
      <c r="F249" s="214"/>
      <c r="G249" s="215"/>
      <c r="H249" s="215"/>
      <c r="I249" s="215"/>
      <c r="J249" s="215"/>
      <c r="K249" s="215"/>
      <c r="L249" s="215"/>
      <c r="M249" s="215"/>
      <c r="N249" s="216"/>
      <c r="P249" s="585">
        <f>IF(INPUT!D27&lt;&gt;"",IF(INPUT!$N$21="大脇・山下式2021",IF(INPUT!D27&lt;&gt;8,IF(INPUT!D27&lt;&gt;9,0,1),1),IF(INPUT!D27&lt;&gt;8,IF(INPUT!D27&lt;&gt;9,2,3),3)),IF(INPUT!$N$21="大脇・山下式2021",-1,4))</f>
        <v>0</v>
      </c>
      <c r="Q249" s="577">
        <f>IF(INPUT!J27&lt;&gt;"",IF(INPUT!$N$21="大脇・山下式2021",IF(INPUT!J27&lt;&gt;8,IF(INPUT!J27&lt;&gt;9,0,1),1),IF(INPUT!J27&lt;&gt;8,IF(INPUT!J27&lt;&gt;9,2,3),3)),IF(INPUT!$N$21="大脇・山下式2021",-1,4))</f>
        <v>0</v>
      </c>
      <c r="R249" s="577"/>
      <c r="S249" s="577"/>
      <c r="T249" s="578" t="s">
        <v>620</v>
      </c>
      <c r="U249" s="577"/>
      <c r="V249" s="577"/>
      <c r="W249" s="577"/>
      <c r="X249" s="577"/>
      <c r="Y249" s="577"/>
      <c r="Z249" s="577"/>
      <c r="AA249" s="584"/>
    </row>
    <row r="250" spans="1:27" ht="15" thickBot="1" x14ac:dyDescent="0.25">
      <c r="A250" s="10" t="s">
        <v>110</v>
      </c>
      <c r="P250" s="585">
        <f>IF(INPUT!D28&lt;&gt;"",IF(INPUT!$N$21="大脇・山下式2021",IF(INPUT!D28&lt;&gt;8,IF(INPUT!D28&lt;&gt;9,0,1),1),IF(INPUT!D28&lt;&gt;8,IF(INPUT!D28&lt;&gt;9,2,3),3)),IF(INPUT!$N$21="大脇・山下式2021",-1,4))</f>
        <v>0</v>
      </c>
      <c r="Q250" s="577">
        <f>IF(INPUT!J28&lt;&gt;"",IF(INPUT!$N$21="大脇・山下式2021",IF(INPUT!J28&lt;&gt;8,IF(INPUT!J28&lt;&gt;9,0,1),1),IF(INPUT!J28&lt;&gt;8,IF(INPUT!J28&lt;&gt;9,2,3),3)),IF(INPUT!$N$21="大脇・山下式2021",-1,4))</f>
        <v>0</v>
      </c>
      <c r="R250" s="577"/>
      <c r="S250" s="577"/>
      <c r="T250" s="577"/>
      <c r="U250" s="577"/>
      <c r="V250" s="577"/>
      <c r="W250" s="577"/>
      <c r="X250" s="577"/>
      <c r="Y250" s="577"/>
      <c r="Z250" s="577"/>
      <c r="AA250" s="584"/>
    </row>
    <row r="251" spans="1:27" ht="15" thickBot="1" x14ac:dyDescent="0.25">
      <c r="A251" s="1180" t="s">
        <v>408</v>
      </c>
      <c r="B251" s="1266"/>
      <c r="C251" s="1266"/>
      <c r="D251" s="1266"/>
      <c r="E251" s="1266"/>
      <c r="F251" s="1266"/>
      <c r="G251" s="1266"/>
      <c r="H251" s="1266"/>
      <c r="I251" s="1266"/>
      <c r="J251" s="1266"/>
      <c r="K251" s="1266"/>
      <c r="L251" s="1266"/>
      <c r="M251" s="1267"/>
      <c r="P251" s="585">
        <f>IF(INPUT!D29&lt;&gt;"",IF(INPUT!$N$21="大脇・山下式2021",IF(INPUT!D29&lt;&gt;8,IF(INPUT!D29&lt;&gt;9,0,1),1),IF(INPUT!D29&lt;&gt;8,IF(INPUT!D29&lt;&gt;9,2,3),3)),IF(INPUT!$N$21="大脇・山下式2021",-1,4))</f>
        <v>0</v>
      </c>
      <c r="Q251" s="577">
        <f>IF(INPUT!J29&lt;&gt;"",IF(INPUT!$N$21="大脇・山下式2021",IF(INPUT!J29&lt;&gt;8,IF(INPUT!J29&lt;&gt;9,0,1),1),IF(INPUT!J29&lt;&gt;8,IF(INPUT!J29&lt;&gt;9,2,3),3)),IF(INPUT!$N$21="大脇・山下式2021",-1,4))</f>
        <v>0</v>
      </c>
      <c r="R251" s="577"/>
      <c r="S251" s="577"/>
      <c r="T251" s="577"/>
      <c r="U251" s="577"/>
      <c r="V251" s="577"/>
      <c r="W251" s="577"/>
      <c r="X251" s="577"/>
      <c r="Y251" s="577"/>
      <c r="Z251" s="577"/>
      <c r="AA251" s="584"/>
    </row>
    <row r="252" spans="1:27" ht="14.25" x14ac:dyDescent="0.2">
      <c r="A252" s="157"/>
      <c r="B252" s="147"/>
      <c r="C252" s="147"/>
      <c r="D252" s="147"/>
      <c r="E252" s="147"/>
      <c r="F252" s="147"/>
      <c r="G252" s="148">
        <v>63</v>
      </c>
      <c r="H252" s="148">
        <v>125</v>
      </c>
      <c r="I252" s="148">
        <v>250</v>
      </c>
      <c r="J252" s="148">
        <v>500</v>
      </c>
      <c r="K252" s="148">
        <v>1000</v>
      </c>
      <c r="L252" s="148">
        <v>2000</v>
      </c>
      <c r="M252" s="149">
        <v>4000</v>
      </c>
      <c r="P252" s="585">
        <f>IF(INPUT!D30&lt;&gt;"",IF(INPUT!$N$21="大脇・山下式2021",IF(INPUT!D30&lt;&gt;8,IF(INPUT!D30&lt;&gt;9,0,1),1),IF(INPUT!D30&lt;&gt;8,IF(INPUT!D30&lt;&gt;9,2,3),3)),IF(INPUT!$N$21="大脇・山下式2021",-1,4))</f>
        <v>0</v>
      </c>
      <c r="Q252" s="577">
        <f>IF(INPUT!J30&lt;&gt;"",IF(INPUT!$N$21="大脇・山下式2021",IF(INPUT!J30&lt;&gt;8,IF(INPUT!J30&lt;&gt;9,0,1),1),IF(INPUT!J30&lt;&gt;8,IF(INPUT!J30&lt;&gt;9,2,3),3)),IF(INPUT!$N$21="大脇・山下式2021",-1,4))</f>
        <v>0</v>
      </c>
      <c r="R252" s="577"/>
      <c r="S252" s="577"/>
      <c r="T252" s="577"/>
      <c r="U252" s="577"/>
      <c r="V252" s="577"/>
      <c r="W252" s="577"/>
      <c r="X252" s="577"/>
      <c r="Y252" s="577"/>
      <c r="Z252" s="577"/>
      <c r="AA252" s="584"/>
    </row>
    <row r="253" spans="1:27" ht="15" thickBot="1" x14ac:dyDescent="0.25">
      <c r="A253" s="1268" t="s">
        <v>88</v>
      </c>
      <c r="B253" s="1269"/>
      <c r="C253" s="1269"/>
      <c r="D253" s="1269" t="s">
        <v>139</v>
      </c>
      <c r="E253" s="1269"/>
      <c r="F253" s="1269"/>
      <c r="G253" s="606">
        <v>0.8</v>
      </c>
      <c r="H253" s="606">
        <v>-0.7</v>
      </c>
      <c r="I253" s="606">
        <v>-2.2000000000000002</v>
      </c>
      <c r="J253" s="606">
        <v>-3.7</v>
      </c>
      <c r="K253" s="606">
        <v>-5.2</v>
      </c>
      <c r="L253" s="606">
        <v>-5.2</v>
      </c>
      <c r="M253" s="621">
        <v>-5.2</v>
      </c>
      <c r="P253" s="585"/>
      <c r="Q253" s="577"/>
      <c r="R253" s="577"/>
      <c r="S253" s="577"/>
      <c r="T253" s="577"/>
      <c r="U253" s="577"/>
      <c r="V253" s="577"/>
      <c r="W253" s="577"/>
      <c r="X253" s="577"/>
      <c r="Y253" s="577"/>
      <c r="Z253" s="577"/>
      <c r="AA253" s="584"/>
    </row>
    <row r="254" spans="1:27" ht="15" thickBot="1" x14ac:dyDescent="0.25">
      <c r="A254" s="1180" t="s">
        <v>373</v>
      </c>
      <c r="B254" s="1266"/>
      <c r="C254" s="1266"/>
      <c r="D254" s="1266"/>
      <c r="E254" s="1266"/>
      <c r="F254" s="1266"/>
      <c r="G254" s="1266"/>
      <c r="H254" s="1266"/>
      <c r="I254" s="1266"/>
      <c r="J254" s="1266"/>
      <c r="K254" s="1266"/>
      <c r="L254" s="1266"/>
      <c r="M254" s="1267"/>
      <c r="P254" s="585" t="s">
        <v>613</v>
      </c>
      <c r="Q254" s="577"/>
      <c r="R254" s="577"/>
      <c r="S254" s="577"/>
      <c r="T254" s="577"/>
      <c r="U254" s="577"/>
      <c r="V254" s="577"/>
      <c r="W254" s="577"/>
      <c r="X254" s="577"/>
      <c r="Y254" s="577"/>
      <c r="Z254" s="577"/>
      <c r="AA254" s="584"/>
    </row>
    <row r="255" spans="1:27" ht="14.25" x14ac:dyDescent="0.2">
      <c r="A255" s="157"/>
      <c r="B255" s="147"/>
      <c r="C255" s="147"/>
      <c r="D255" s="147"/>
      <c r="E255" s="147"/>
      <c r="F255" s="147"/>
      <c r="G255" s="148">
        <v>63</v>
      </c>
      <c r="H255" s="148">
        <v>125</v>
      </c>
      <c r="I255" s="148">
        <v>250</v>
      </c>
      <c r="J255" s="148">
        <v>500</v>
      </c>
      <c r="K255" s="148">
        <v>1000</v>
      </c>
      <c r="L255" s="148">
        <v>2000</v>
      </c>
      <c r="M255" s="149">
        <v>4000</v>
      </c>
      <c r="P255" s="585" t="s">
        <v>614</v>
      </c>
      <c r="Q255" s="577"/>
      <c r="R255" s="577"/>
      <c r="S255" s="577"/>
      <c r="T255" s="577"/>
      <c r="U255" s="577"/>
      <c r="V255" s="577"/>
      <c r="W255" s="577"/>
      <c r="X255" s="577"/>
      <c r="Y255" s="577"/>
      <c r="Z255" s="577"/>
      <c r="AA255" s="584"/>
    </row>
    <row r="256" spans="1:27" ht="15" thickBot="1" x14ac:dyDescent="0.25">
      <c r="A256" s="1268" t="s">
        <v>88</v>
      </c>
      <c r="B256" s="1269"/>
      <c r="C256" s="1269"/>
      <c r="D256" s="1269" t="s">
        <v>140</v>
      </c>
      <c r="E256" s="1269"/>
      <c r="F256" s="1269"/>
      <c r="G256" s="160">
        <f>10*LOG(J86/1000)</f>
        <v>-8.337705708432507</v>
      </c>
      <c r="H256" s="160">
        <f t="shared" ref="H256:M256" si="22">G256</f>
        <v>-8.337705708432507</v>
      </c>
      <c r="I256" s="160">
        <f t="shared" si="22"/>
        <v>-8.337705708432507</v>
      </c>
      <c r="J256" s="160">
        <f t="shared" si="22"/>
        <v>-8.337705708432507</v>
      </c>
      <c r="K256" s="160">
        <f t="shared" si="22"/>
        <v>-8.337705708432507</v>
      </c>
      <c r="L256" s="160">
        <f t="shared" si="22"/>
        <v>-8.337705708432507</v>
      </c>
      <c r="M256" s="161">
        <f t="shared" si="22"/>
        <v>-8.337705708432507</v>
      </c>
      <c r="P256" s="585" t="s">
        <v>616</v>
      </c>
      <c r="Q256" s="577"/>
      <c r="R256" s="577"/>
      <c r="S256" s="577"/>
      <c r="T256" s="577"/>
      <c r="U256" s="577"/>
      <c r="V256" s="577"/>
      <c r="W256" s="577"/>
      <c r="X256" s="577"/>
      <c r="Y256" s="577"/>
      <c r="Z256" s="577"/>
      <c r="AA256" s="584"/>
    </row>
    <row r="257" spans="1:27" ht="15" thickBot="1" x14ac:dyDescent="0.25">
      <c r="A257" s="1263" t="s">
        <v>108</v>
      </c>
      <c r="B257" s="1264"/>
      <c r="C257" s="1264"/>
      <c r="D257" s="1264"/>
      <c r="E257" s="1264"/>
      <c r="F257" s="1264"/>
      <c r="G257" s="1264"/>
      <c r="H257" s="1264"/>
      <c r="I257" s="1264"/>
      <c r="J257" s="1264"/>
      <c r="K257" s="1264"/>
      <c r="L257" s="1264"/>
      <c r="M257" s="1265"/>
      <c r="P257" s="585" t="s">
        <v>617</v>
      </c>
      <c r="Q257" s="577"/>
      <c r="R257" s="577"/>
      <c r="S257" s="577"/>
      <c r="T257" s="577"/>
      <c r="U257" s="577"/>
      <c r="V257" s="577"/>
      <c r="W257" s="577"/>
      <c r="X257" s="577"/>
      <c r="Y257" s="577"/>
      <c r="Z257" s="577"/>
      <c r="AA257" s="584"/>
    </row>
    <row r="258" spans="1:27" ht="15" thickBot="1" x14ac:dyDescent="0.25">
      <c r="A258" s="162" t="s">
        <v>105</v>
      </c>
      <c r="B258" s="163"/>
      <c r="C258" s="163" t="s">
        <v>197</v>
      </c>
      <c r="D258" s="163" t="s">
        <v>106</v>
      </c>
      <c r="E258" s="163" t="s">
        <v>107</v>
      </c>
      <c r="F258" s="164" t="s">
        <v>104</v>
      </c>
      <c r="G258" s="163"/>
      <c r="H258" s="163"/>
      <c r="I258" s="163"/>
      <c r="J258" s="163"/>
      <c r="K258" s="163"/>
      <c r="L258" s="163"/>
      <c r="M258" s="165"/>
      <c r="P258" s="586" t="s">
        <v>618</v>
      </c>
      <c r="Q258" s="587"/>
      <c r="R258" s="587"/>
      <c r="S258" s="587"/>
      <c r="T258" s="587"/>
      <c r="U258" s="587"/>
      <c r="V258" s="587"/>
      <c r="W258" s="587"/>
      <c r="X258" s="587"/>
      <c r="Y258" s="587"/>
      <c r="Z258" s="587"/>
      <c r="AA258" s="588"/>
    </row>
    <row r="259" spans="1:27" x14ac:dyDescent="0.2">
      <c r="A259" s="166" t="s">
        <v>109</v>
      </c>
      <c r="B259" s="167"/>
      <c r="C259" s="168" t="e">
        <f>#REF!</f>
        <v>#REF!</v>
      </c>
      <c r="D259" s="168" t="e">
        <f>C259-INT(C259/10)*10</f>
        <v>#REF!</v>
      </c>
      <c r="E259" s="167" t="e">
        <f>IF(D259=0,0,IF(D259&lt;=5,5,10))</f>
        <v>#REF!</v>
      </c>
      <c r="F259" s="167" t="e">
        <f>INT(C259/10)*10+E259</f>
        <v>#REF!</v>
      </c>
      <c r="G259" s="167"/>
      <c r="H259" s="167"/>
      <c r="I259" s="167"/>
      <c r="J259" s="167"/>
      <c r="K259" s="167"/>
      <c r="L259" s="167"/>
      <c r="M259" s="169"/>
    </row>
    <row r="260" spans="1:27" ht="13.9" customHeight="1" thickBot="1" x14ac:dyDescent="0.25">
      <c r="A260" s="602" t="s">
        <v>110</v>
      </c>
      <c r="B260" s="606"/>
      <c r="C260" s="606">
        <f>Result_軽量床衝撃音!G26</f>
        <v>78</v>
      </c>
      <c r="D260" s="170">
        <f>C260-INT(C260/10)*10</f>
        <v>8</v>
      </c>
      <c r="E260" s="606">
        <f>IF(D260=0,0,IF(D260&lt;=5,5,10))</f>
        <v>10</v>
      </c>
      <c r="F260" s="606">
        <f>INT(C260/10)*10+E260</f>
        <v>80</v>
      </c>
      <c r="G260" s="606"/>
      <c r="H260" s="606"/>
      <c r="I260" s="606"/>
      <c r="J260" s="606"/>
      <c r="K260" s="606"/>
      <c r="L260" s="606"/>
      <c r="M260" s="621"/>
    </row>
    <row r="262" spans="1:27" ht="12" thickBot="1" x14ac:dyDescent="0.25"/>
    <row r="263" spans="1:27" ht="13.5" thickBot="1" x14ac:dyDescent="0.25">
      <c r="A263" s="1200" t="s">
        <v>420</v>
      </c>
      <c r="B263" s="1226"/>
      <c r="C263" s="1226"/>
      <c r="D263" s="1226"/>
      <c r="E263" s="1226"/>
      <c r="F263" s="1226"/>
      <c r="G263" s="1226"/>
      <c r="H263" s="1226"/>
      <c r="I263" s="1226"/>
      <c r="J263" s="1226"/>
      <c r="K263" s="1226"/>
      <c r="L263" s="1226"/>
      <c r="M263" s="1227"/>
    </row>
    <row r="264" spans="1:27" x14ac:dyDescent="0.2">
      <c r="A264" s="616"/>
      <c r="B264" s="26" t="s">
        <v>330</v>
      </c>
      <c r="C264" s="592" t="s">
        <v>339</v>
      </c>
      <c r="D264" s="592" t="s">
        <v>340</v>
      </c>
      <c r="E264" s="592"/>
      <c r="F264" s="592"/>
      <c r="G264" s="592"/>
      <c r="H264" s="26" t="s">
        <v>331</v>
      </c>
      <c r="I264" s="171">
        <f>J86/1000</f>
        <v>0.14663222653367991</v>
      </c>
      <c r="J264" s="592"/>
      <c r="K264" s="592"/>
      <c r="L264" s="592"/>
      <c r="M264" s="593"/>
    </row>
    <row r="265" spans="1:27" x14ac:dyDescent="0.2">
      <c r="A265" s="12" t="s">
        <v>341</v>
      </c>
      <c r="B265" s="27">
        <f>H220</f>
        <v>137.49873002861955</v>
      </c>
      <c r="C265" s="27">
        <f>B265/2</f>
        <v>68.749365014309774</v>
      </c>
      <c r="D265" s="27">
        <f>B265*2</f>
        <v>274.9974600572391</v>
      </c>
      <c r="E265" s="597"/>
      <c r="F265" s="597"/>
      <c r="G265" s="597"/>
      <c r="H265" s="596" t="s">
        <v>333</v>
      </c>
      <c r="I265" s="626">
        <f>SQRT(PI()*I266*I264/SQRT(3)/B265)</f>
        <v>2.4996594508797347</v>
      </c>
      <c r="J265" s="597"/>
      <c r="K265" s="597"/>
      <c r="L265" s="597"/>
      <c r="M265" s="598"/>
    </row>
    <row r="266" spans="1:27" x14ac:dyDescent="0.2">
      <c r="A266" s="633" t="s">
        <v>343</v>
      </c>
      <c r="B266" s="626">
        <f>I265</f>
        <v>2.4996594508797347</v>
      </c>
      <c r="C266" s="626">
        <f>I265</f>
        <v>2.4996594508797347</v>
      </c>
      <c r="D266" s="626">
        <f>I265</f>
        <v>2.4996594508797347</v>
      </c>
      <c r="E266" s="597"/>
      <c r="F266" s="597"/>
      <c r="G266" s="597"/>
      <c r="H266" s="597" t="s">
        <v>334</v>
      </c>
      <c r="I266" s="605">
        <f>H94</f>
        <v>3230.2914123489932</v>
      </c>
      <c r="J266" s="597"/>
      <c r="K266" s="597"/>
      <c r="L266" s="597"/>
      <c r="M266" s="598"/>
    </row>
    <row r="267" spans="1:27" x14ac:dyDescent="0.2">
      <c r="A267" s="633" t="s">
        <v>345</v>
      </c>
      <c r="B267" s="626">
        <f>SQRT(PI()*$I$266*$I$264/SQRT(3)/B265)</f>
        <v>2.4996594508797347</v>
      </c>
      <c r="C267" s="626">
        <f>SQRT(PI()*$I$266*$I$264/SQRT(3)/C265)</f>
        <v>3.5350522967482045</v>
      </c>
      <c r="D267" s="626">
        <f>SQRT(PI()*$I$266*$I$264/SQRT(3)/D265)</f>
        <v>1.7675261483741023</v>
      </c>
      <c r="E267" s="597"/>
      <c r="F267" s="597"/>
      <c r="G267" s="597"/>
      <c r="H267" s="597" t="s">
        <v>335</v>
      </c>
      <c r="I267" s="597">
        <v>340</v>
      </c>
      <c r="J267" s="597"/>
      <c r="K267" s="597"/>
      <c r="L267" s="597"/>
      <c r="M267" s="598"/>
    </row>
    <row r="268" spans="1:27" x14ac:dyDescent="0.2">
      <c r="A268" s="12" t="s">
        <v>346</v>
      </c>
      <c r="B268" s="172">
        <f>PI()*B267</f>
        <v>7.8529117673600712</v>
      </c>
      <c r="C268" s="172">
        <f>PI()*C267</f>
        <v>11.105694325519885</v>
      </c>
      <c r="D268" s="172">
        <f>PI()*D267</f>
        <v>5.5528471627599423</v>
      </c>
      <c r="E268" s="597"/>
      <c r="F268" s="597"/>
      <c r="G268" s="597"/>
      <c r="H268" s="597"/>
      <c r="I268" s="597"/>
      <c r="J268" s="597"/>
      <c r="K268" s="597"/>
      <c r="L268" s="597"/>
      <c r="M268" s="598"/>
    </row>
    <row r="269" spans="1:27" x14ac:dyDescent="0.2">
      <c r="A269" s="12" t="s">
        <v>344</v>
      </c>
      <c r="B269" s="172">
        <f>PI()*B267^2/4</f>
        <v>4.9074012790515704</v>
      </c>
      <c r="C269" s="172">
        <f>PI()*C267^2/4</f>
        <v>9.8148025581031426</v>
      </c>
      <c r="D269" s="172">
        <f>PI()*D267^2/4</f>
        <v>2.4537006395257857</v>
      </c>
      <c r="E269" s="597"/>
      <c r="F269" s="597"/>
      <c r="G269" s="597"/>
      <c r="H269" s="597"/>
      <c r="I269" s="597"/>
      <c r="J269" s="597"/>
      <c r="K269" s="597"/>
      <c r="L269" s="597"/>
      <c r="M269" s="598"/>
    </row>
    <row r="270" spans="1:27" x14ac:dyDescent="0.2">
      <c r="A270" s="12" t="s">
        <v>342</v>
      </c>
      <c r="B270" s="172">
        <f>0.45*SQRT(B268/B266)</f>
        <v>0.79760423290748217</v>
      </c>
      <c r="C270" s="172">
        <f>(C268*C266/PI()^2/C269)*SQRT(C265/B265)</f>
        <v>0.20264236728467558</v>
      </c>
      <c r="D270" s="597">
        <v>1</v>
      </c>
      <c r="E270" s="597"/>
      <c r="F270" s="597"/>
      <c r="G270" s="597"/>
      <c r="H270" s="597"/>
      <c r="I270" s="597"/>
      <c r="J270" s="597"/>
      <c r="K270" s="597"/>
      <c r="L270" s="597"/>
      <c r="M270" s="598"/>
    </row>
    <row r="271" spans="1:27" x14ac:dyDescent="0.2">
      <c r="A271" s="633" t="s">
        <v>336</v>
      </c>
      <c r="B271" s="596" t="s">
        <v>332</v>
      </c>
      <c r="C271" s="597" t="s">
        <v>337</v>
      </c>
      <c r="D271" s="596" t="s">
        <v>338</v>
      </c>
      <c r="E271" s="597" t="s">
        <v>342</v>
      </c>
      <c r="F271" s="596" t="s">
        <v>336</v>
      </c>
      <c r="G271" s="596" t="s">
        <v>332</v>
      </c>
      <c r="H271" s="597" t="s">
        <v>337</v>
      </c>
      <c r="I271" s="596" t="s">
        <v>338</v>
      </c>
      <c r="J271" s="597" t="s">
        <v>342</v>
      </c>
      <c r="K271" s="597" t="s">
        <v>347</v>
      </c>
      <c r="L271" s="597" t="s">
        <v>342</v>
      </c>
      <c r="M271" s="598" t="s">
        <v>348</v>
      </c>
    </row>
    <row r="272" spans="1:27" x14ac:dyDescent="0.2">
      <c r="A272" s="12">
        <v>1</v>
      </c>
      <c r="B272" s="626">
        <f t="shared" ref="B272:B335" si="23">SQRT(PI()*$I$266*$I$264/SQRT(3)/A272)</f>
        <v>29.310969845219468</v>
      </c>
      <c r="C272" s="172">
        <f>PI()*B272^2/4</f>
        <v>674.76144361041418</v>
      </c>
      <c r="D272" s="172">
        <f>PI()*B272</f>
        <v>92.083127535333432</v>
      </c>
      <c r="E272" s="626">
        <f>IF(A272&lt;=$C$265,(D272*$I$265/PI()^2/C272)*SQRT(A272/$B$265),IF(A272&lt;$B$265,($C$270-$B$270)/($C$265-$B$265)*A272+($C$265*$B$270-$B$265*$C$270)/($C$265-$B$265),IF(A272=$B$265,0.45*SQRT(D272/$I$265),IF(A272&lt;$D$265,($B$270-$D$270)/($B$265-$D$265)*A272+($B$265*$D$270-$D$265*$B$270)/($B$265-$D$265),1))))</f>
        <v>2.9475525663763837E-3</v>
      </c>
      <c r="F272" s="597">
        <v>501</v>
      </c>
      <c r="G272" s="626">
        <f t="shared" ref="G272:G335" si="24">SQRT(PI()*$I$266*$I$264/SQRT(3)/F272)</f>
        <v>1.3095175577542275</v>
      </c>
      <c r="H272" s="172">
        <f t="shared" ref="H272:H284" si="25">PI()*G272^2/4</f>
        <v>1.3468292287633017</v>
      </c>
      <c r="I272" s="172">
        <f t="shared" ref="I272:I284" si="26">PI()*G272</f>
        <v>4.1139707391875291</v>
      </c>
      <c r="J272" s="626">
        <f t="shared" ref="J272:J284" si="27">IF(F272&lt;=$C$265,(I272*$I$265/PI()^2/H272)*SQRT(F272/$B$265),IF(F272&lt;$B$265,($C$270-$B$270)/($C$265-$B$265)*F272+($C$265*$B$270-$B$265*$C$270)/($C$265-$B$265),IF(F272=$B$265,0.45*SQRT(I272/$I$265),IF(F272&lt;$D$265,($B$270-$D$270)/($B$265-$D$265)*F272+($B$265*$D$270-$D$265*$B$270)/($B$265-$D$265),1))))</f>
        <v>1</v>
      </c>
      <c r="K272" s="597">
        <v>16</v>
      </c>
      <c r="L272" s="626">
        <f>AVERAGE(E283:E293)</f>
        <v>5.0108393628398522E-2</v>
      </c>
      <c r="M272" s="175">
        <f t="shared" ref="M272:M277" si="28">10*LOG(L272)</f>
        <v>-13.000895196184235</v>
      </c>
    </row>
    <row r="273" spans="1:13" x14ac:dyDescent="0.2">
      <c r="A273" s="12">
        <v>2</v>
      </c>
      <c r="B273" s="626">
        <f t="shared" si="23"/>
        <v>20.725985540709097</v>
      </c>
      <c r="C273" s="172">
        <f t="shared" ref="C273:C336" si="29">PI()*B273^2/4</f>
        <v>337.38072180520714</v>
      </c>
      <c r="D273" s="172">
        <f t="shared" ref="D273:D336" si="30">PI()*B273</f>
        <v>65.112603913099974</v>
      </c>
      <c r="E273" s="626">
        <f t="shared" ref="E273:E336" si="31">IF(A273&lt;=$C$265,(D273*$I$265/PI()^2/C273)*SQRT(A273/$B$265),IF(A273&lt;$B$265,($C$270-$B$270)/($C$265-$B$265)*A273+($C$265*$B$270-$B$265*$C$270)/($C$265-$B$265),IF(A273=$B$265,0.45*SQRT(D273/$I$265),IF(A273&lt;$D$265,($B$270-$D$270)/($B$265-$D$265)*A273+($B$265*$D$270-$D$265*$B$270)/($B$265-$D$265),1))))</f>
        <v>5.8951051327527674E-3</v>
      </c>
      <c r="F273" s="597">
        <v>502</v>
      </c>
      <c r="G273" s="626">
        <f t="shared" si="24"/>
        <v>1.3082126071981577</v>
      </c>
      <c r="H273" s="172">
        <f t="shared" si="25"/>
        <v>1.3441463020127775</v>
      </c>
      <c r="I273" s="172">
        <f t="shared" si="26"/>
        <v>4.1098711161072821</v>
      </c>
      <c r="J273" s="626">
        <f t="shared" si="27"/>
        <v>1</v>
      </c>
      <c r="K273" s="597">
        <v>31.5</v>
      </c>
      <c r="L273" s="626">
        <f>AVERAGE(E294:E315)</f>
        <v>9.874301097360888E-2</v>
      </c>
      <c r="M273" s="175">
        <f t="shared" si="28"/>
        <v>-10.054936339598521</v>
      </c>
    </row>
    <row r="274" spans="1:13" x14ac:dyDescent="0.2">
      <c r="A274" s="12">
        <v>3</v>
      </c>
      <c r="B274" s="626">
        <f t="shared" si="23"/>
        <v>16.922696330346465</v>
      </c>
      <c r="C274" s="172">
        <f t="shared" si="29"/>
        <v>224.92048120347147</v>
      </c>
      <c r="D274" s="172">
        <f t="shared" si="30"/>
        <v>53.164218470347407</v>
      </c>
      <c r="E274" s="626">
        <f t="shared" si="31"/>
        <v>8.842657699129149E-3</v>
      </c>
      <c r="F274" s="597">
        <v>503</v>
      </c>
      <c r="G274" s="626">
        <f t="shared" si="24"/>
        <v>1.3069115500814552</v>
      </c>
      <c r="H274" s="172">
        <f t="shared" si="25"/>
        <v>1.3414740429630501</v>
      </c>
      <c r="I274" s="172">
        <f t="shared" si="26"/>
        <v>4.1057837246275488</v>
      </c>
      <c r="J274" s="626">
        <f t="shared" si="27"/>
        <v>1</v>
      </c>
      <c r="K274" s="597">
        <v>63</v>
      </c>
      <c r="L274" s="626">
        <f>AVERAGE(E316:E360)</f>
        <v>0.22478389136101626</v>
      </c>
      <c r="M274" s="175">
        <f t="shared" si="28"/>
        <v>-6.4823481473860021</v>
      </c>
    </row>
    <row r="275" spans="1:13" x14ac:dyDescent="0.2">
      <c r="A275" s="12">
        <v>4</v>
      </c>
      <c r="B275" s="626">
        <f t="shared" si="23"/>
        <v>14.655484922609734</v>
      </c>
      <c r="C275" s="172">
        <f t="shared" si="29"/>
        <v>168.69036090260354</v>
      </c>
      <c r="D275" s="172">
        <f t="shared" si="30"/>
        <v>46.041563767666716</v>
      </c>
      <c r="E275" s="626">
        <f t="shared" si="31"/>
        <v>1.1790210265505535E-2</v>
      </c>
      <c r="F275" s="597">
        <v>504</v>
      </c>
      <c r="G275" s="626">
        <f t="shared" si="24"/>
        <v>1.3056143670818294</v>
      </c>
      <c r="H275" s="172">
        <f t="shared" si="25"/>
        <v>1.3388123881159013</v>
      </c>
      <c r="I275" s="172">
        <f t="shared" si="26"/>
        <v>4.101708504045563</v>
      </c>
      <c r="J275" s="626">
        <f t="shared" si="27"/>
        <v>1</v>
      </c>
      <c r="K275" s="597">
        <v>125</v>
      </c>
      <c r="L275" s="626">
        <f>AVERAGE(E361:E450)</f>
        <v>0.70126429338721263</v>
      </c>
      <c r="M275" s="175">
        <f t="shared" si="28"/>
        <v>-1.5411827372019327</v>
      </c>
    </row>
    <row r="276" spans="1:13" x14ac:dyDescent="0.2">
      <c r="A276" s="12">
        <v>5</v>
      </c>
      <c r="B276" s="626">
        <f t="shared" si="23"/>
        <v>13.108264212071445</v>
      </c>
      <c r="C276" s="172">
        <f t="shared" si="29"/>
        <v>134.95228872208287</v>
      </c>
      <c r="D276" s="172">
        <f t="shared" si="30"/>
        <v>41.180826549957651</v>
      </c>
      <c r="E276" s="626">
        <f t="shared" si="31"/>
        <v>1.4737762831881919E-2</v>
      </c>
      <c r="F276" s="597">
        <v>505</v>
      </c>
      <c r="G276" s="626">
        <f t="shared" si="24"/>
        <v>1.3043210390109727</v>
      </c>
      <c r="H276" s="172">
        <f t="shared" si="25"/>
        <v>1.3361612744760678</v>
      </c>
      <c r="I276" s="172">
        <f t="shared" si="26"/>
        <v>4.0976453940794775</v>
      </c>
      <c r="J276" s="626">
        <f t="shared" si="27"/>
        <v>1</v>
      </c>
      <c r="K276" s="597">
        <v>250</v>
      </c>
      <c r="L276" s="626">
        <f>AVERAGE(E451:E625)</f>
        <v>0.96164636322711561</v>
      </c>
      <c r="M276" s="175">
        <f t="shared" si="28"/>
        <v>-0.16984606480783637</v>
      </c>
    </row>
    <row r="277" spans="1:13" x14ac:dyDescent="0.2">
      <c r="A277" s="12">
        <v>6</v>
      </c>
      <c r="B277" s="626">
        <f t="shared" si="23"/>
        <v>11.966153331148687</v>
      </c>
      <c r="C277" s="172">
        <f t="shared" si="29"/>
        <v>112.46024060173569</v>
      </c>
      <c r="D277" s="172">
        <f t="shared" si="30"/>
        <v>37.592779396865744</v>
      </c>
      <c r="E277" s="626">
        <f t="shared" si="31"/>
        <v>1.7685315398258301E-2</v>
      </c>
      <c r="F277" s="597">
        <v>506</v>
      </c>
      <c r="G277" s="626">
        <f t="shared" si="24"/>
        <v>1.3030315468133686</v>
      </c>
      <c r="H277" s="172">
        <f t="shared" si="25"/>
        <v>1.3335206395462733</v>
      </c>
      <c r="I277" s="172">
        <f t="shared" si="26"/>
        <v>4.0935943348646235</v>
      </c>
      <c r="J277" s="626">
        <f t="shared" si="27"/>
        <v>1</v>
      </c>
      <c r="K277" s="597">
        <v>500</v>
      </c>
      <c r="L277" s="626">
        <f>AVERAGE(E626:E771,J272:J480)</f>
        <v>1</v>
      </c>
      <c r="M277" s="175">
        <f t="shared" si="28"/>
        <v>0</v>
      </c>
    </row>
    <row r="278" spans="1:13" x14ac:dyDescent="0.2">
      <c r="A278" s="12">
        <v>7</v>
      </c>
      <c r="B278" s="626">
        <f t="shared" si="23"/>
        <v>11.078505270937727</v>
      </c>
      <c r="C278" s="172">
        <f t="shared" si="29"/>
        <v>96.394491944344892</v>
      </c>
      <c r="D278" s="172">
        <f t="shared" si="30"/>
        <v>34.804150771933763</v>
      </c>
      <c r="E278" s="626">
        <f t="shared" si="31"/>
        <v>2.0632867964634687E-2</v>
      </c>
      <c r="F278" s="597">
        <v>507</v>
      </c>
      <c r="G278" s="626">
        <f t="shared" si="24"/>
        <v>1.3017458715651127</v>
      </c>
      <c r="H278" s="172">
        <f t="shared" si="25"/>
        <v>1.3308904213223163</v>
      </c>
      <c r="I278" s="172">
        <f t="shared" si="26"/>
        <v>4.0895552669498008</v>
      </c>
      <c r="J278" s="626">
        <f t="shared" si="27"/>
        <v>1</v>
      </c>
      <c r="K278" s="597">
        <v>1000</v>
      </c>
      <c r="L278" s="597">
        <v>1</v>
      </c>
      <c r="M278" s="598">
        <v>0</v>
      </c>
    </row>
    <row r="279" spans="1:13" x14ac:dyDescent="0.2">
      <c r="A279" s="12">
        <v>8</v>
      </c>
      <c r="B279" s="626">
        <f t="shared" si="23"/>
        <v>10.362992770354548</v>
      </c>
      <c r="C279" s="172">
        <f t="shared" si="29"/>
        <v>84.345180451301786</v>
      </c>
      <c r="D279" s="172">
        <f t="shared" si="30"/>
        <v>32.556301956549987</v>
      </c>
      <c r="E279" s="626">
        <f t="shared" si="31"/>
        <v>2.358042053101107E-2</v>
      </c>
      <c r="F279" s="597">
        <v>508</v>
      </c>
      <c r="G279" s="626">
        <f t="shared" si="24"/>
        <v>1.3004639944727459</v>
      </c>
      <c r="H279" s="172">
        <f t="shared" si="25"/>
        <v>1.3282705582882171</v>
      </c>
      <c r="I279" s="172">
        <f t="shared" si="26"/>
        <v>4.085528131293616</v>
      </c>
      <c r="J279" s="626">
        <f t="shared" si="27"/>
        <v>1</v>
      </c>
      <c r="K279" s="597">
        <v>2000</v>
      </c>
      <c r="L279" s="597">
        <v>1</v>
      </c>
      <c r="M279" s="598">
        <v>0</v>
      </c>
    </row>
    <row r="280" spans="1:13" x14ac:dyDescent="0.2">
      <c r="A280" s="12">
        <v>9</v>
      </c>
      <c r="B280" s="626">
        <f t="shared" si="23"/>
        <v>9.770323281739822</v>
      </c>
      <c r="C280" s="172">
        <f t="shared" si="29"/>
        <v>74.973493734490461</v>
      </c>
      <c r="D280" s="172">
        <f t="shared" si="30"/>
        <v>30.694375845111143</v>
      </c>
      <c r="E280" s="626">
        <f t="shared" si="31"/>
        <v>2.6527973097387452E-2</v>
      </c>
      <c r="F280" s="597">
        <v>509</v>
      </c>
      <c r="G280" s="626">
        <f t="shared" si="24"/>
        <v>1.2991858968721011</v>
      </c>
      <c r="H280" s="172">
        <f t="shared" si="25"/>
        <v>1.3256609894114229</v>
      </c>
      <c r="I280" s="172">
        <f t="shared" si="26"/>
        <v>4.0815128692608589</v>
      </c>
      <c r="J280" s="626">
        <f t="shared" si="27"/>
        <v>1</v>
      </c>
      <c r="K280" s="597"/>
      <c r="L280" s="597"/>
      <c r="M280" s="598"/>
    </row>
    <row r="281" spans="1:13" x14ac:dyDescent="0.2">
      <c r="A281" s="12">
        <v>10</v>
      </c>
      <c r="B281" s="626">
        <f t="shared" si="23"/>
        <v>9.2689425139406545</v>
      </c>
      <c r="C281" s="172">
        <f t="shared" si="29"/>
        <v>67.47614436104142</v>
      </c>
      <c r="D281" s="172">
        <f t="shared" si="30"/>
        <v>29.11924170834207</v>
      </c>
      <c r="E281" s="626">
        <f t="shared" si="31"/>
        <v>2.9475525663763838E-2</v>
      </c>
      <c r="F281" s="597">
        <v>510</v>
      </c>
      <c r="G281" s="626">
        <f t="shared" si="24"/>
        <v>1.2979115602271611</v>
      </c>
      <c r="H281" s="172">
        <f t="shared" si="25"/>
        <v>1.3230616541380671</v>
      </c>
      <c r="I281" s="172">
        <f t="shared" si="26"/>
        <v>4.0775094226189159</v>
      </c>
      <c r="J281" s="626">
        <f t="shared" si="27"/>
        <v>1</v>
      </c>
      <c r="K281" s="597"/>
      <c r="L281" s="597"/>
      <c r="M281" s="598"/>
    </row>
    <row r="282" spans="1:13" x14ac:dyDescent="0.2">
      <c r="A282" s="12">
        <v>11</v>
      </c>
      <c r="B282" s="626">
        <f t="shared" si="23"/>
        <v>8.8375899289104058</v>
      </c>
      <c r="C282" s="172">
        <f t="shared" si="29"/>
        <v>61.341949419128561</v>
      </c>
      <c r="D282" s="172">
        <f t="shared" si="30"/>
        <v>27.764107596104072</v>
      </c>
      <c r="E282" s="626">
        <f t="shared" si="31"/>
        <v>3.242307823014022E-2</v>
      </c>
      <c r="F282" s="597">
        <v>511</v>
      </c>
      <c r="G282" s="626">
        <f t="shared" si="24"/>
        <v>1.2966409661289309</v>
      </c>
      <c r="H282" s="172">
        <f t="shared" si="25"/>
        <v>1.3204724923882862</v>
      </c>
      <c r="I282" s="172">
        <f t="shared" si="26"/>
        <v>4.0735177335342208</v>
      </c>
      <c r="J282" s="626">
        <f t="shared" si="27"/>
        <v>1</v>
      </c>
      <c r="K282" s="597"/>
      <c r="L282" s="597"/>
      <c r="M282" s="598"/>
    </row>
    <row r="283" spans="1:13" x14ac:dyDescent="0.2">
      <c r="A283" s="12">
        <v>12</v>
      </c>
      <c r="B283" s="626">
        <f t="shared" si="23"/>
        <v>8.4613481651732325</v>
      </c>
      <c r="C283" s="172">
        <f t="shared" si="29"/>
        <v>56.230120300867867</v>
      </c>
      <c r="D283" s="172">
        <f t="shared" si="30"/>
        <v>26.582109235173704</v>
      </c>
      <c r="E283" s="626">
        <f t="shared" si="31"/>
        <v>3.5370630796516596E-2</v>
      </c>
      <c r="F283" s="597">
        <v>512</v>
      </c>
      <c r="G283" s="626">
        <f t="shared" si="24"/>
        <v>1.2953740962943185</v>
      </c>
      <c r="H283" s="172">
        <f t="shared" si="25"/>
        <v>1.3178934445515904</v>
      </c>
      <c r="I283" s="172">
        <f t="shared" si="26"/>
        <v>4.0695377445687484</v>
      </c>
      <c r="J283" s="626">
        <f t="shared" si="27"/>
        <v>1</v>
      </c>
      <c r="K283" s="597"/>
      <c r="L283" s="597"/>
      <c r="M283" s="598"/>
    </row>
    <row r="284" spans="1:13" x14ac:dyDescent="0.2">
      <c r="A284" s="12">
        <v>13</v>
      </c>
      <c r="B284" s="626">
        <f t="shared" si="23"/>
        <v>8.1294003623475071</v>
      </c>
      <c r="C284" s="172">
        <f t="shared" si="29"/>
        <v>51.904726431570339</v>
      </c>
      <c r="D284" s="172">
        <f t="shared" si="30"/>
        <v>25.539264456441131</v>
      </c>
      <c r="E284" s="626">
        <f t="shared" si="31"/>
        <v>3.8318183362892985E-2</v>
      </c>
      <c r="F284" s="597">
        <v>513</v>
      </c>
      <c r="G284" s="626">
        <f t="shared" si="24"/>
        <v>1.2941109325650322</v>
      </c>
      <c r="H284" s="172">
        <f t="shared" si="25"/>
        <v>1.315324451482289</v>
      </c>
      <c r="I284" s="172">
        <f t="shared" si="26"/>
        <v>4.0655693986765415</v>
      </c>
      <c r="J284" s="626">
        <f t="shared" si="27"/>
        <v>1</v>
      </c>
      <c r="K284" s="597"/>
      <c r="L284" s="597"/>
      <c r="M284" s="598"/>
    </row>
    <row r="285" spans="1:13" x14ac:dyDescent="0.2">
      <c r="A285" s="12">
        <v>14</v>
      </c>
      <c r="B285" s="626">
        <f t="shared" si="23"/>
        <v>7.8336862024909761</v>
      </c>
      <c r="C285" s="172">
        <f t="shared" si="29"/>
        <v>48.197245972172439</v>
      </c>
      <c r="D285" s="172">
        <f t="shared" si="30"/>
        <v>24.610251024273374</v>
      </c>
      <c r="E285" s="626">
        <f t="shared" si="31"/>
        <v>4.1265735929269381E-2</v>
      </c>
      <c r="F285" s="597">
        <v>514</v>
      </c>
      <c r="G285" s="626">
        <f t="shared" si="24"/>
        <v>1.2928514569064862</v>
      </c>
      <c r="H285" s="172">
        <f t="shared" ref="H285:H348" si="32">PI()*G285^2/4</f>
        <v>1.3127654544949694</v>
      </c>
      <c r="I285" s="172">
        <f t="shared" ref="I285:I348" si="33">PI()*G285</f>
        <v>4.0616126392002778</v>
      </c>
      <c r="J285" s="626">
        <f t="shared" ref="J285:J348" si="34">IF(F285&lt;=$C$265,(I285*$I$265/PI()^2/H285)*SQRT(F285/$B$265),IF(F285&lt;$B$265,($C$270-$B$270)/($C$265-$B$265)*F285+($C$265*$B$270-$B$265*$C$270)/($C$265-$B$265),IF(F285=$B$265,0.45*SQRT(I285/$I$265),IF(F285&lt;$D$265,($B$270-$D$270)/($B$265-$D$265)*F285+($B$265*$D$270-$D$265*$B$270)/($B$265-$D$265),1))))</f>
        <v>1</v>
      </c>
      <c r="K285" s="597"/>
      <c r="L285" s="597"/>
      <c r="M285" s="598"/>
    </row>
    <row r="286" spans="1:13" x14ac:dyDescent="0.2">
      <c r="A286" s="12">
        <v>15</v>
      </c>
      <c r="B286" s="626">
        <f t="shared" si="23"/>
        <v>7.5680598714481864</v>
      </c>
      <c r="C286" s="172">
        <f t="shared" si="29"/>
        <v>44.984096240694285</v>
      </c>
      <c r="D286" s="172">
        <f t="shared" si="30"/>
        <v>23.775761294069337</v>
      </c>
      <c r="E286" s="626">
        <f t="shared" si="31"/>
        <v>4.4213288495645757E-2</v>
      </c>
      <c r="F286" s="597">
        <v>515</v>
      </c>
      <c r="G286" s="626">
        <f t="shared" si="24"/>
        <v>1.2915956514067193</v>
      </c>
      <c r="H286" s="172">
        <f t="shared" si="32"/>
        <v>1.3102163953600274</v>
      </c>
      <c r="I286" s="172">
        <f t="shared" si="33"/>
        <v>4.0576674098678724</v>
      </c>
      <c r="J286" s="626">
        <f t="shared" si="34"/>
        <v>1</v>
      </c>
      <c r="K286" s="597"/>
      <c r="L286" s="597"/>
      <c r="M286" s="598"/>
    </row>
    <row r="287" spans="1:13" x14ac:dyDescent="0.2">
      <c r="A287" s="12">
        <v>16</v>
      </c>
      <c r="B287" s="626">
        <f t="shared" si="23"/>
        <v>7.3277424613048669</v>
      </c>
      <c r="C287" s="172">
        <f t="shared" si="29"/>
        <v>42.172590225650886</v>
      </c>
      <c r="D287" s="172">
        <f t="shared" si="30"/>
        <v>23.020781883833358</v>
      </c>
      <c r="E287" s="626">
        <f t="shared" si="31"/>
        <v>4.7160841062022139E-2</v>
      </c>
      <c r="F287" s="597">
        <v>516</v>
      </c>
      <c r="G287" s="626">
        <f t="shared" si="24"/>
        <v>1.2903434982753255</v>
      </c>
      <c r="H287" s="172">
        <f t="shared" si="32"/>
        <v>1.307677216299252</v>
      </c>
      <c r="I287" s="172">
        <f t="shared" si="33"/>
        <v>4.0537336547891165</v>
      </c>
      <c r="J287" s="626">
        <f t="shared" si="34"/>
        <v>1</v>
      </c>
      <c r="K287" s="597"/>
      <c r="L287" s="597"/>
      <c r="M287" s="598"/>
    </row>
    <row r="288" spans="1:13" x14ac:dyDescent="0.2">
      <c r="A288" s="12">
        <v>17</v>
      </c>
      <c r="B288" s="626">
        <f t="shared" si="23"/>
        <v>7.1089543918314115</v>
      </c>
      <c r="C288" s="172">
        <f t="shared" si="29"/>
        <v>39.691849624142009</v>
      </c>
      <c r="D288" s="172">
        <f t="shared" si="30"/>
        <v>22.333438892082459</v>
      </c>
      <c r="E288" s="626">
        <f t="shared" si="31"/>
        <v>5.0108393628398529E-2</v>
      </c>
      <c r="F288" s="597">
        <v>517</v>
      </c>
      <c r="G288" s="626">
        <f t="shared" si="24"/>
        <v>1.289094979842395</v>
      </c>
      <c r="H288" s="172">
        <f t="shared" si="32"/>
        <v>1.305147859981459</v>
      </c>
      <c r="I288" s="172">
        <f t="shared" si="33"/>
        <v>4.0498113184523508</v>
      </c>
      <c r="J288" s="626">
        <f t="shared" si="34"/>
        <v>1</v>
      </c>
      <c r="K288" s="597"/>
      <c r="L288" s="597"/>
      <c r="M288" s="598"/>
    </row>
    <row r="289" spans="1:13" x14ac:dyDescent="0.2">
      <c r="A289" s="12">
        <v>18</v>
      </c>
      <c r="B289" s="626">
        <f t="shared" si="23"/>
        <v>6.9086618469030316</v>
      </c>
      <c r="C289" s="172">
        <f t="shared" si="29"/>
        <v>37.48674686724523</v>
      </c>
      <c r="D289" s="172">
        <f t="shared" si="30"/>
        <v>21.704201304366656</v>
      </c>
      <c r="E289" s="626">
        <f t="shared" si="31"/>
        <v>5.3055946194774918E-2</v>
      </c>
      <c r="F289" s="597">
        <v>518</v>
      </c>
      <c r="G289" s="626">
        <f t="shared" si="24"/>
        <v>1.2878500785574667</v>
      </c>
      <c r="H289" s="172">
        <f t="shared" si="32"/>
        <v>1.3026282695181743</v>
      </c>
      <c r="I289" s="172">
        <f t="shared" si="33"/>
        <v>4.0459003457211757</v>
      </c>
      <c r="J289" s="626">
        <f t="shared" si="34"/>
        <v>1</v>
      </c>
      <c r="K289" s="597"/>
      <c r="L289" s="597"/>
      <c r="M289" s="598"/>
    </row>
    <row r="290" spans="1:13" x14ac:dyDescent="0.2">
      <c r="A290" s="12">
        <v>19</v>
      </c>
      <c r="B290" s="626">
        <f t="shared" si="23"/>
        <v>6.7243976574989306</v>
      </c>
      <c r="C290" s="172">
        <f t="shared" si="29"/>
        <v>35.513760190021799</v>
      </c>
      <c r="D290" s="172">
        <f t="shared" si="30"/>
        <v>21.125318280615055</v>
      </c>
      <c r="E290" s="626">
        <f t="shared" si="31"/>
        <v>5.6003498761151294E-2</v>
      </c>
      <c r="F290" s="597">
        <v>519</v>
      </c>
      <c r="G290" s="626">
        <f t="shared" si="24"/>
        <v>1.2866087769884926</v>
      </c>
      <c r="H290" s="172">
        <f t="shared" si="32"/>
        <v>1.3001183884593723</v>
      </c>
      <c r="I290" s="172">
        <f t="shared" si="33"/>
        <v>4.0420006818311967</v>
      </c>
      <c r="J290" s="626">
        <f t="shared" si="34"/>
        <v>1</v>
      </c>
      <c r="K290" s="597"/>
      <c r="L290" s="597"/>
      <c r="M290" s="598"/>
    </row>
    <row r="291" spans="1:13" x14ac:dyDescent="0.2">
      <c r="A291" s="12">
        <v>20</v>
      </c>
      <c r="B291" s="626">
        <f t="shared" si="23"/>
        <v>6.5541321060357225</v>
      </c>
      <c r="C291" s="172">
        <f t="shared" si="29"/>
        <v>33.738072180520717</v>
      </c>
      <c r="D291" s="172">
        <f t="shared" si="30"/>
        <v>20.590413274978825</v>
      </c>
      <c r="E291" s="626">
        <f t="shared" si="31"/>
        <v>5.8951051327527676E-2</v>
      </c>
      <c r="F291" s="597">
        <v>520</v>
      </c>
      <c r="G291" s="626">
        <f t="shared" si="24"/>
        <v>1.2853710578208124</v>
      </c>
      <c r="H291" s="172">
        <f t="shared" si="32"/>
        <v>1.2976181607892581</v>
      </c>
      <c r="I291" s="172">
        <f t="shared" si="33"/>
        <v>4.0381122723868055</v>
      </c>
      <c r="J291" s="626">
        <f t="shared" si="34"/>
        <v>1</v>
      </c>
      <c r="K291" s="597"/>
      <c r="L291" s="597"/>
      <c r="M291" s="598"/>
    </row>
    <row r="292" spans="1:13" x14ac:dyDescent="0.2">
      <c r="A292" s="12">
        <v>21</v>
      </c>
      <c r="B292" s="626">
        <f t="shared" si="23"/>
        <v>6.3961780003945847</v>
      </c>
      <c r="C292" s="172">
        <f t="shared" si="29"/>
        <v>32.131497314781633</v>
      </c>
      <c r="D292" s="172">
        <f t="shared" si="30"/>
        <v>20.094185817092281</v>
      </c>
      <c r="E292" s="626">
        <f t="shared" si="31"/>
        <v>6.1898603893904065E-2</v>
      </c>
      <c r="F292" s="597">
        <v>521</v>
      </c>
      <c r="G292" s="626">
        <f t="shared" si="24"/>
        <v>1.2841369038561388</v>
      </c>
      <c r="H292" s="172">
        <f t="shared" si="32"/>
        <v>1.2951275309221002</v>
      </c>
      <c r="I292" s="172">
        <f t="shared" si="33"/>
        <v>4.034235063357988</v>
      </c>
      <c r="J292" s="626">
        <f t="shared" si="34"/>
        <v>1</v>
      </c>
      <c r="K292" s="597"/>
      <c r="L292" s="597"/>
      <c r="M292" s="598"/>
    </row>
    <row r="293" spans="1:13" x14ac:dyDescent="0.2">
      <c r="A293" s="12">
        <v>22</v>
      </c>
      <c r="B293" s="626">
        <f t="shared" si="23"/>
        <v>6.2491197680784865</v>
      </c>
      <c r="C293" s="172">
        <f t="shared" si="29"/>
        <v>30.67097470956428</v>
      </c>
      <c r="D293" s="172">
        <f t="shared" si="30"/>
        <v>19.632188754798126</v>
      </c>
      <c r="E293" s="626">
        <f t="shared" si="31"/>
        <v>6.4846156460280455E-2</v>
      </c>
      <c r="F293" s="597">
        <v>522</v>
      </c>
      <c r="G293" s="626">
        <f t="shared" si="24"/>
        <v>1.2829062980115542</v>
      </c>
      <c r="H293" s="172">
        <f t="shared" si="32"/>
        <v>1.2926464436981115</v>
      </c>
      <c r="I293" s="172">
        <f t="shared" si="33"/>
        <v>4.0303690010771769</v>
      </c>
      <c r="J293" s="626">
        <f t="shared" si="34"/>
        <v>1</v>
      </c>
      <c r="K293" s="597"/>
      <c r="L293" s="597"/>
      <c r="M293" s="598"/>
    </row>
    <row r="294" spans="1:13" x14ac:dyDescent="0.2">
      <c r="A294" s="12">
        <v>23</v>
      </c>
      <c r="B294" s="626">
        <f t="shared" si="23"/>
        <v>6.1117597027205246</v>
      </c>
      <c r="C294" s="172">
        <f t="shared" si="29"/>
        <v>29.337454070018005</v>
      </c>
      <c r="D294" s="172">
        <f t="shared" si="30"/>
        <v>19.200659382572937</v>
      </c>
      <c r="E294" s="626">
        <f t="shared" si="31"/>
        <v>6.7793709026656823E-2</v>
      </c>
      <c r="F294" s="597">
        <v>523</v>
      </c>
      <c r="G294" s="626">
        <f t="shared" si="24"/>
        <v>1.2816792233185172</v>
      </c>
      <c r="H294" s="172">
        <f t="shared" si="32"/>
        <v>1.2901748443793772</v>
      </c>
      <c r="I294" s="172">
        <f t="shared" si="33"/>
        <v>4.0265140322361255</v>
      </c>
      <c r="J294" s="626">
        <f t="shared" si="34"/>
        <v>1</v>
      </c>
      <c r="K294" s="597"/>
      <c r="L294" s="597"/>
      <c r="M294" s="598"/>
    </row>
    <row r="295" spans="1:13" x14ac:dyDescent="0.2">
      <c r="A295" s="12">
        <v>24</v>
      </c>
      <c r="B295" s="626">
        <f t="shared" si="23"/>
        <v>5.9830766655743437</v>
      </c>
      <c r="C295" s="172">
        <f t="shared" si="29"/>
        <v>28.115060150433923</v>
      </c>
      <c r="D295" s="172">
        <f t="shared" si="30"/>
        <v>18.796389698432872</v>
      </c>
      <c r="E295" s="626">
        <f t="shared" si="31"/>
        <v>7.0741261593033206E-2</v>
      </c>
      <c r="F295" s="597">
        <v>524</v>
      </c>
      <c r="G295" s="626">
        <f t="shared" si="24"/>
        <v>1.2804556629218802</v>
      </c>
      <c r="H295" s="172">
        <f t="shared" si="32"/>
        <v>1.2877126786458286</v>
      </c>
      <c r="I295" s="172">
        <f t="shared" si="33"/>
        <v>4.0226701038828274</v>
      </c>
      <c r="J295" s="626">
        <f t="shared" si="34"/>
        <v>1</v>
      </c>
      <c r="K295" s="597"/>
      <c r="L295" s="597"/>
      <c r="M295" s="598"/>
    </row>
    <row r="296" spans="1:13" x14ac:dyDescent="0.2">
      <c r="A296" s="12">
        <v>25</v>
      </c>
      <c r="B296" s="626">
        <f t="shared" si="23"/>
        <v>5.8621939690438936</v>
      </c>
      <c r="C296" s="172">
        <f t="shared" si="29"/>
        <v>26.990457744416567</v>
      </c>
      <c r="D296" s="172">
        <f t="shared" si="30"/>
        <v>18.416625507066687</v>
      </c>
      <c r="E296" s="626">
        <f t="shared" si="31"/>
        <v>7.3688814159409588E-2</v>
      </c>
      <c r="F296" s="597">
        <v>525</v>
      </c>
      <c r="G296" s="626">
        <f t="shared" si="24"/>
        <v>1.2792356000789169</v>
      </c>
      <c r="H296" s="172">
        <f t="shared" si="32"/>
        <v>1.2852598925912651</v>
      </c>
      <c r="I296" s="172">
        <f t="shared" si="33"/>
        <v>4.0188371634184561</v>
      </c>
      <c r="J296" s="626">
        <f t="shared" si="34"/>
        <v>1</v>
      </c>
      <c r="K296" s="597"/>
      <c r="L296" s="597"/>
      <c r="M296" s="598"/>
    </row>
    <row r="297" spans="1:13" x14ac:dyDescent="0.2">
      <c r="A297" s="12">
        <v>26</v>
      </c>
      <c r="B297" s="626">
        <f t="shared" si="23"/>
        <v>5.7483541231962985</v>
      </c>
      <c r="C297" s="172">
        <f t="shared" si="29"/>
        <v>25.952363215785162</v>
      </c>
      <c r="D297" s="172">
        <f t="shared" si="30"/>
        <v>18.058987083666089</v>
      </c>
      <c r="E297" s="626">
        <f t="shared" si="31"/>
        <v>7.663636672578597E-2</v>
      </c>
      <c r="F297" s="597">
        <v>526</v>
      </c>
      <c r="G297" s="626">
        <f t="shared" si="24"/>
        <v>1.2780190181583599</v>
      </c>
      <c r="H297" s="172">
        <f t="shared" si="32"/>
        <v>1.2828164327194189</v>
      </c>
      <c r="I297" s="172">
        <f t="shared" si="33"/>
        <v>4.0150151585943439</v>
      </c>
      <c r="J297" s="626">
        <f t="shared" si="34"/>
        <v>1</v>
      </c>
      <c r="K297" s="597"/>
      <c r="L297" s="597"/>
      <c r="M297" s="598"/>
    </row>
    <row r="298" spans="1:13" x14ac:dyDescent="0.2">
      <c r="A298" s="12">
        <v>27</v>
      </c>
      <c r="B298" s="626">
        <f t="shared" si="23"/>
        <v>5.6408987767821541</v>
      </c>
      <c r="C298" s="172">
        <f t="shared" si="29"/>
        <v>24.991164578163488</v>
      </c>
      <c r="D298" s="172">
        <f t="shared" si="30"/>
        <v>17.721406156782464</v>
      </c>
      <c r="E298" s="626">
        <f t="shared" si="31"/>
        <v>7.9583919292162353E-2</v>
      </c>
      <c r="F298" s="597">
        <v>527</v>
      </c>
      <c r="G298" s="626">
        <f t="shared" si="24"/>
        <v>1.2768059006394485</v>
      </c>
      <c r="H298" s="172">
        <f t="shared" si="32"/>
        <v>1.2803822459400649</v>
      </c>
      <c r="I298" s="172">
        <f t="shared" si="33"/>
        <v>4.0112040375089908</v>
      </c>
      <c r="J298" s="626">
        <f t="shared" si="34"/>
        <v>1</v>
      </c>
      <c r="K298" s="597"/>
      <c r="L298" s="597"/>
      <c r="M298" s="598"/>
    </row>
    <row r="299" spans="1:13" x14ac:dyDescent="0.2">
      <c r="A299" s="12">
        <v>28</v>
      </c>
      <c r="B299" s="626">
        <f t="shared" si="23"/>
        <v>5.5392526354688636</v>
      </c>
      <c r="C299" s="172">
        <f t="shared" si="29"/>
        <v>24.098622986086223</v>
      </c>
      <c r="D299" s="172">
        <f t="shared" si="30"/>
        <v>17.402075385966882</v>
      </c>
      <c r="E299" s="626">
        <f t="shared" si="31"/>
        <v>8.2531471858538749E-2</v>
      </c>
      <c r="F299" s="597">
        <v>528</v>
      </c>
      <c r="G299" s="626">
        <f t="shared" si="24"/>
        <v>1.2755962311109872</v>
      </c>
      <c r="H299" s="172">
        <f t="shared" si="32"/>
        <v>1.2779572795651786</v>
      </c>
      <c r="I299" s="172">
        <f t="shared" si="33"/>
        <v>4.0074037486051051</v>
      </c>
      <c r="J299" s="626">
        <f t="shared" si="34"/>
        <v>1</v>
      </c>
      <c r="K299" s="597"/>
      <c r="L299" s="597"/>
      <c r="M299" s="598"/>
    </row>
    <row r="300" spans="1:13" x14ac:dyDescent="0.2">
      <c r="A300" s="12">
        <v>29</v>
      </c>
      <c r="B300" s="626">
        <f t="shared" si="23"/>
        <v>5.4429104577053984</v>
      </c>
      <c r="C300" s="172">
        <f t="shared" si="29"/>
        <v>23.267635986566006</v>
      </c>
      <c r="D300" s="172">
        <f t="shared" si="30"/>
        <v>17.099407508074339</v>
      </c>
      <c r="E300" s="626">
        <f t="shared" si="31"/>
        <v>8.5479024424915118E-2</v>
      </c>
      <c r="F300" s="597">
        <v>529</v>
      </c>
      <c r="G300" s="626">
        <f t="shared" si="24"/>
        <v>1.2743899932704117</v>
      </c>
      <c r="H300" s="172">
        <f t="shared" si="32"/>
        <v>1.2755414813051309</v>
      </c>
      <c r="I300" s="172">
        <f t="shared" si="33"/>
        <v>4.0036142406666713</v>
      </c>
      <c r="J300" s="626">
        <f t="shared" si="34"/>
        <v>1</v>
      </c>
      <c r="K300" s="597"/>
      <c r="L300" s="597"/>
      <c r="M300" s="598"/>
    </row>
    <row r="301" spans="1:13" x14ac:dyDescent="0.2">
      <c r="A301" s="12">
        <v>30</v>
      </c>
      <c r="B301" s="626">
        <f t="shared" si="23"/>
        <v>5.351426455526803</v>
      </c>
      <c r="C301" s="172">
        <f t="shared" si="29"/>
        <v>22.492048120347139</v>
      </c>
      <c r="D301" s="172">
        <f t="shared" si="30"/>
        <v>16.812002038909071</v>
      </c>
      <c r="E301" s="626">
        <f t="shared" si="31"/>
        <v>8.8426576991291528E-2</v>
      </c>
      <c r="F301" s="597">
        <v>530</v>
      </c>
      <c r="G301" s="626">
        <f t="shared" si="24"/>
        <v>1.2731871709228677</v>
      </c>
      <c r="H301" s="172">
        <f t="shared" si="32"/>
        <v>1.2731347992649327</v>
      </c>
      <c r="I301" s="172">
        <f t="shared" si="33"/>
        <v>3.9998354628160535</v>
      </c>
      <c r="J301" s="626">
        <f t="shared" si="34"/>
        <v>1</v>
      </c>
      <c r="K301" s="597"/>
      <c r="L301" s="597"/>
      <c r="M301" s="598"/>
    </row>
    <row r="302" spans="1:13" x14ac:dyDescent="0.2">
      <c r="A302" s="12">
        <v>31</v>
      </c>
      <c r="B302" s="626">
        <f t="shared" si="23"/>
        <v>5.2644055917483339</v>
      </c>
      <c r="C302" s="172">
        <f t="shared" si="29"/>
        <v>21.766498180981102</v>
      </c>
      <c r="D302" s="172">
        <f t="shared" si="30"/>
        <v>16.538617932553592</v>
      </c>
      <c r="E302" s="626">
        <f t="shared" si="31"/>
        <v>9.1374129557667896E-2</v>
      </c>
      <c r="F302" s="597">
        <v>531</v>
      </c>
      <c r="G302" s="626">
        <f t="shared" si="24"/>
        <v>1.2719877479802968</v>
      </c>
      <c r="H302" s="172">
        <f t="shared" si="32"/>
        <v>1.2707371819405167</v>
      </c>
      <c r="I302" s="172">
        <f t="shared" si="33"/>
        <v>3.9960673645111258</v>
      </c>
      <c r="J302" s="626">
        <f t="shared" si="34"/>
        <v>1</v>
      </c>
      <c r="K302" s="597"/>
      <c r="L302" s="597"/>
      <c r="M302" s="598"/>
    </row>
    <row r="303" spans="1:13" x14ac:dyDescent="0.2">
      <c r="A303" s="12">
        <v>32</v>
      </c>
      <c r="B303" s="626">
        <f t="shared" si="23"/>
        <v>5.1814963851772742</v>
      </c>
      <c r="C303" s="172">
        <f t="shared" si="29"/>
        <v>21.086295112825447</v>
      </c>
      <c r="D303" s="172">
        <f t="shared" si="30"/>
        <v>16.278150978274994</v>
      </c>
      <c r="E303" s="626">
        <f t="shared" si="31"/>
        <v>9.4321682124044279E-2</v>
      </c>
      <c r="F303" s="597">
        <v>532</v>
      </c>
      <c r="G303" s="626">
        <f t="shared" si="24"/>
        <v>1.2707917084605327</v>
      </c>
      <c r="H303" s="172">
        <f t="shared" si="32"/>
        <v>1.2683485782150643</v>
      </c>
      <c r="I303" s="172">
        <f t="shared" si="33"/>
        <v>3.9923098955424314</v>
      </c>
      <c r="J303" s="626">
        <f t="shared" si="34"/>
        <v>1</v>
      </c>
      <c r="K303" s="597"/>
      <c r="L303" s="597"/>
      <c r="M303" s="598"/>
    </row>
    <row r="304" spans="1:13" x14ac:dyDescent="0.2">
      <c r="A304" s="12">
        <v>33</v>
      </c>
      <c r="B304" s="626">
        <f t="shared" si="23"/>
        <v>5.1023849244439488</v>
      </c>
      <c r="C304" s="172">
        <f t="shared" si="29"/>
        <v>20.447316473042857</v>
      </c>
      <c r="D304" s="172">
        <f t="shared" si="30"/>
        <v>16.02961499442042</v>
      </c>
      <c r="E304" s="626">
        <f t="shared" si="31"/>
        <v>9.7269234690420647E-2</v>
      </c>
      <c r="F304" s="597">
        <v>533</v>
      </c>
      <c r="G304" s="626">
        <f t="shared" si="24"/>
        <v>1.2695990364864074</v>
      </c>
      <c r="H304" s="172">
        <f t="shared" si="32"/>
        <v>1.2659689373553737</v>
      </c>
      <c r="I304" s="172">
        <f t="shared" si="33"/>
        <v>3.9885630060303772</v>
      </c>
      <c r="J304" s="626">
        <f t="shared" si="34"/>
        <v>1</v>
      </c>
      <c r="K304" s="597"/>
      <c r="L304" s="597"/>
      <c r="M304" s="598"/>
    </row>
    <row r="305" spans="1:13" x14ac:dyDescent="0.2">
      <c r="A305" s="12">
        <v>34</v>
      </c>
      <c r="B305" s="626">
        <f t="shared" si="23"/>
        <v>5.02678985760988</v>
      </c>
      <c r="C305" s="172">
        <f t="shared" si="29"/>
        <v>19.845924812071004</v>
      </c>
      <c r="D305" s="172">
        <f t="shared" si="30"/>
        <v>15.792126087806881</v>
      </c>
      <c r="E305" s="626">
        <f t="shared" si="31"/>
        <v>0.10021678725679707</v>
      </c>
      <c r="F305" s="597">
        <v>534</v>
      </c>
      <c r="G305" s="626">
        <f t="shared" si="24"/>
        <v>1.2684097162848651</v>
      </c>
      <c r="H305" s="172">
        <f t="shared" si="32"/>
        <v>1.2635982090082662</v>
      </c>
      <c r="I305" s="172">
        <f t="shared" si="33"/>
        <v>3.9848266464224458</v>
      </c>
      <c r="J305" s="626">
        <f t="shared" si="34"/>
        <v>1</v>
      </c>
      <c r="K305" s="597"/>
      <c r="L305" s="597"/>
      <c r="M305" s="598"/>
    </row>
    <row r="306" spans="1:13" x14ac:dyDescent="0.2">
      <c r="A306" s="12">
        <v>35</v>
      </c>
      <c r="B306" s="626">
        <f t="shared" si="23"/>
        <v>4.9544581749812968</v>
      </c>
      <c r="C306" s="172">
        <f t="shared" si="29"/>
        <v>19.278898388868981</v>
      </c>
      <c r="D306" s="172">
        <f t="shared" si="30"/>
        <v>15.564889405039136</v>
      </c>
      <c r="E306" s="626">
        <f t="shared" si="31"/>
        <v>0.10316433982317343</v>
      </c>
      <c r="F306" s="597">
        <v>535</v>
      </c>
      <c r="G306" s="626">
        <f t="shared" si="24"/>
        <v>1.2672237321860871</v>
      </c>
      <c r="H306" s="172">
        <f t="shared" si="32"/>
        <v>1.2612363431970361</v>
      </c>
      <c r="I306" s="172">
        <f t="shared" si="33"/>
        <v>3.9811007674904508</v>
      </c>
      <c r="J306" s="626">
        <f t="shared" si="34"/>
        <v>1</v>
      </c>
      <c r="K306" s="597"/>
      <c r="L306" s="597"/>
      <c r="M306" s="598"/>
    </row>
    <row r="307" spans="1:13" x14ac:dyDescent="0.2">
      <c r="A307" s="12">
        <v>36</v>
      </c>
      <c r="B307" s="626">
        <f t="shared" si="23"/>
        <v>4.885161640869911</v>
      </c>
      <c r="C307" s="172">
        <f t="shared" si="29"/>
        <v>18.743373433622615</v>
      </c>
      <c r="D307" s="172">
        <f t="shared" si="30"/>
        <v>15.347187922555571</v>
      </c>
      <c r="E307" s="626">
        <f t="shared" si="31"/>
        <v>0.10611189238954981</v>
      </c>
      <c r="F307" s="597">
        <v>536</v>
      </c>
      <c r="G307" s="626">
        <f t="shared" si="24"/>
        <v>1.2660410686226233</v>
      </c>
      <c r="H307" s="172">
        <f t="shared" si="32"/>
        <v>1.2588832903179372</v>
      </c>
      <c r="I307" s="172">
        <f t="shared" si="33"/>
        <v>3.9773853203278047</v>
      </c>
      <c r="J307" s="626">
        <f t="shared" si="34"/>
        <v>1</v>
      </c>
      <c r="K307" s="597"/>
      <c r="L307" s="597"/>
      <c r="M307" s="598"/>
    </row>
    <row r="308" spans="1:13" x14ac:dyDescent="0.2">
      <c r="A308" s="12">
        <v>37</v>
      </c>
      <c r="B308" s="626">
        <f t="shared" si="23"/>
        <v>4.8186937594919454</v>
      </c>
      <c r="C308" s="172">
        <f t="shared" si="29"/>
        <v>18.236795773254435</v>
      </c>
      <c r="D308" s="172">
        <f t="shared" si="30"/>
        <v>15.138372914718877</v>
      </c>
      <c r="E308" s="626">
        <f t="shared" si="31"/>
        <v>0.10905944495592623</v>
      </c>
      <c r="F308" s="597">
        <v>537</v>
      </c>
      <c r="G308" s="626">
        <f t="shared" si="24"/>
        <v>1.2648617101285353</v>
      </c>
      <c r="H308" s="172">
        <f t="shared" si="32"/>
        <v>1.2565390011367117</v>
      </c>
      <c r="I308" s="172">
        <f t="shared" si="33"/>
        <v>3.973680256346829</v>
      </c>
      <c r="J308" s="626">
        <f t="shared" si="34"/>
        <v>1</v>
      </c>
      <c r="K308" s="597"/>
      <c r="L308" s="597"/>
      <c r="M308" s="598"/>
    </row>
    <row r="309" spans="1:13" x14ac:dyDescent="0.2">
      <c r="A309" s="12">
        <v>38</v>
      </c>
      <c r="B309" s="626">
        <f t="shared" si="23"/>
        <v>4.7548671830124292</v>
      </c>
      <c r="C309" s="172">
        <f t="shared" si="29"/>
        <v>17.756880095010903</v>
      </c>
      <c r="D309" s="172">
        <f t="shared" si="30"/>
        <v>14.937855810947042</v>
      </c>
      <c r="E309" s="626">
        <f t="shared" si="31"/>
        <v>0.11200699752230257</v>
      </c>
      <c r="F309" s="597">
        <v>538</v>
      </c>
      <c r="G309" s="626">
        <f t="shared" si="24"/>
        <v>1.2636856413385467</v>
      </c>
      <c r="H309" s="172">
        <f t="shared" si="32"/>
        <v>1.2542034267851567</v>
      </c>
      <c r="I309" s="172">
        <f t="shared" si="33"/>
        <v>3.9699855272760844</v>
      </c>
      <c r="J309" s="626">
        <f t="shared" si="34"/>
        <v>1</v>
      </c>
      <c r="K309" s="597"/>
      <c r="L309" s="597"/>
      <c r="M309" s="598"/>
    </row>
    <row r="310" spans="1:13" x14ac:dyDescent="0.2">
      <c r="A310" s="12">
        <v>39</v>
      </c>
      <c r="B310" s="626">
        <f t="shared" si="23"/>
        <v>4.6935114875515742</v>
      </c>
      <c r="C310" s="172">
        <f t="shared" si="29"/>
        <v>17.301575477190109</v>
      </c>
      <c r="D310" s="172">
        <f t="shared" si="30"/>
        <v>14.745101208831327</v>
      </c>
      <c r="E310" s="626">
        <f t="shared" si="31"/>
        <v>0.114954550088679</v>
      </c>
      <c r="F310" s="597">
        <v>539</v>
      </c>
      <c r="G310" s="626">
        <f t="shared" si="24"/>
        <v>1.2625128469872009</v>
      </c>
      <c r="H310" s="172">
        <f t="shared" si="32"/>
        <v>1.2518765187577259</v>
      </c>
      <c r="I310" s="172">
        <f t="shared" si="33"/>
        <v>3.9663010851577249</v>
      </c>
      <c r="J310" s="626">
        <f t="shared" si="34"/>
        <v>1</v>
      </c>
      <c r="K310" s="597"/>
      <c r="L310" s="597"/>
      <c r="M310" s="598"/>
    </row>
    <row r="311" spans="1:13" x14ac:dyDescent="0.2">
      <c r="A311" s="12">
        <v>40</v>
      </c>
      <c r="B311" s="626">
        <f t="shared" si="23"/>
        <v>4.6344712569703272</v>
      </c>
      <c r="C311" s="172">
        <f t="shared" si="29"/>
        <v>16.869036090260355</v>
      </c>
      <c r="D311" s="172">
        <f t="shared" si="30"/>
        <v>14.559620854171035</v>
      </c>
      <c r="E311" s="626">
        <f t="shared" si="31"/>
        <v>0.11790210265505535</v>
      </c>
      <c r="F311" s="597">
        <v>540</v>
      </c>
      <c r="G311" s="626">
        <f t="shared" si="24"/>
        <v>1.2613433119080311</v>
      </c>
      <c r="H311" s="172">
        <f t="shared" si="32"/>
        <v>1.2495582289081748</v>
      </c>
      <c r="I311" s="172">
        <f t="shared" si="33"/>
        <v>3.9626268823448894</v>
      </c>
      <c r="J311" s="626">
        <f t="shared" si="34"/>
        <v>1</v>
      </c>
      <c r="K311" s="597"/>
      <c r="L311" s="597"/>
      <c r="M311" s="598"/>
    </row>
    <row r="312" spans="1:13" x14ac:dyDescent="0.2">
      <c r="A312" s="12">
        <v>41</v>
      </c>
      <c r="B312" s="626">
        <f t="shared" si="23"/>
        <v>4.5776044253314181</v>
      </c>
      <c r="C312" s="172">
        <f t="shared" si="29"/>
        <v>16.45759618561986</v>
      </c>
      <c r="D312" s="172">
        <f t="shared" si="30"/>
        <v>14.380968433661311</v>
      </c>
      <c r="E312" s="626">
        <f t="shared" si="31"/>
        <v>0.12084965522143173</v>
      </c>
      <c r="F312" s="597">
        <v>541</v>
      </c>
      <c r="G312" s="626">
        <f t="shared" si="24"/>
        <v>1.2601770210327345</v>
      </c>
      <c r="H312" s="172">
        <f t="shared" si="32"/>
        <v>1.2472485094462369</v>
      </c>
      <c r="I312" s="172">
        <f t="shared" si="33"/>
        <v>3.958962871499109</v>
      </c>
      <c r="J312" s="626">
        <f t="shared" si="34"/>
        <v>1</v>
      </c>
      <c r="K312" s="597"/>
      <c r="L312" s="597"/>
      <c r="M312" s="598"/>
    </row>
    <row r="313" spans="1:13" x14ac:dyDescent="0.2">
      <c r="A313" s="12">
        <v>42</v>
      </c>
      <c r="B313" s="626">
        <f t="shared" si="23"/>
        <v>4.5227808377552225</v>
      </c>
      <c r="C313" s="172">
        <f t="shared" si="29"/>
        <v>16.065748657390813</v>
      </c>
      <c r="D313" s="172">
        <f t="shared" si="30"/>
        <v>14.208735053688498</v>
      </c>
      <c r="E313" s="626">
        <f t="shared" si="31"/>
        <v>0.12379720778780814</v>
      </c>
      <c r="F313" s="597">
        <v>542</v>
      </c>
      <c r="G313" s="626">
        <f t="shared" si="24"/>
        <v>1.2590139593903587</v>
      </c>
      <c r="H313" s="172">
        <f t="shared" si="32"/>
        <v>1.2449473129343436</v>
      </c>
      <c r="I313" s="172">
        <f t="shared" si="33"/>
        <v>3.9553090055877487</v>
      </c>
      <c r="J313" s="626">
        <f t="shared" si="34"/>
        <v>1</v>
      </c>
      <c r="K313" s="597"/>
      <c r="L313" s="597"/>
      <c r="M313" s="598"/>
    </row>
    <row r="314" spans="1:13" x14ac:dyDescent="0.2">
      <c r="A314" s="12">
        <v>43</v>
      </c>
      <c r="B314" s="626">
        <f t="shared" si="23"/>
        <v>4.4698809964580555</v>
      </c>
      <c r="C314" s="172">
        <f t="shared" si="29"/>
        <v>15.692126595591027</v>
      </c>
      <c r="D314" s="172">
        <f t="shared" si="30"/>
        <v>14.04254530089325</v>
      </c>
      <c r="E314" s="626">
        <f t="shared" si="31"/>
        <v>0.1267447603541845</v>
      </c>
      <c r="F314" s="597">
        <v>543</v>
      </c>
      <c r="G314" s="626">
        <f t="shared" si="24"/>
        <v>1.257854112106493</v>
      </c>
      <c r="H314" s="172">
        <f t="shared" si="32"/>
        <v>1.2426545922843726</v>
      </c>
      <c r="I314" s="172">
        <f t="shared" si="33"/>
        <v>3.9516652378814703</v>
      </c>
      <c r="J314" s="626">
        <f t="shared" si="34"/>
        <v>1</v>
      </c>
      <c r="K314" s="597"/>
      <c r="L314" s="597"/>
      <c r="M314" s="598"/>
    </row>
    <row r="315" spans="1:13" x14ac:dyDescent="0.2">
      <c r="A315" s="12">
        <v>44</v>
      </c>
      <c r="B315" s="626">
        <f t="shared" si="23"/>
        <v>4.4187949644552029</v>
      </c>
      <c r="C315" s="172">
        <f t="shared" si="29"/>
        <v>15.33548735478214</v>
      </c>
      <c r="D315" s="172">
        <f t="shared" si="30"/>
        <v>13.882053798052036</v>
      </c>
      <c r="E315" s="626">
        <f t="shared" si="31"/>
        <v>0.12969231292056088</v>
      </c>
      <c r="F315" s="597">
        <v>544</v>
      </c>
      <c r="G315" s="626">
        <f t="shared" si="24"/>
        <v>1.25669746440247</v>
      </c>
      <c r="H315" s="172">
        <f t="shared" si="32"/>
        <v>1.2403703007544378</v>
      </c>
      <c r="I315" s="172">
        <f t="shared" si="33"/>
        <v>3.9480315219517204</v>
      </c>
      <c r="J315" s="626">
        <f t="shared" si="34"/>
        <v>1</v>
      </c>
      <c r="K315" s="597"/>
      <c r="L315" s="597"/>
      <c r="M315" s="598"/>
    </row>
    <row r="316" spans="1:13" x14ac:dyDescent="0.2">
      <c r="A316" s="12">
        <v>45</v>
      </c>
      <c r="B316" s="626">
        <f t="shared" si="23"/>
        <v>4.3694214040238144</v>
      </c>
      <c r="C316" s="172">
        <f t="shared" si="29"/>
        <v>14.994698746898093</v>
      </c>
      <c r="D316" s="172">
        <f t="shared" si="30"/>
        <v>13.726942183319215</v>
      </c>
      <c r="E316" s="626">
        <f t="shared" si="31"/>
        <v>0.13263986548693726</v>
      </c>
      <c r="F316" s="597">
        <v>545</v>
      </c>
      <c r="G316" s="626">
        <f t="shared" si="24"/>
        <v>1.2555440015945756</v>
      </c>
      <c r="H316" s="172">
        <f t="shared" si="32"/>
        <v>1.2380943919457144</v>
      </c>
      <c r="I316" s="172">
        <f t="shared" si="33"/>
        <v>3.9444078116682499</v>
      </c>
      <c r="J316" s="626">
        <f t="shared" si="34"/>
        <v>1</v>
      </c>
      <c r="K316" s="597"/>
      <c r="L316" s="597"/>
      <c r="M316" s="598"/>
    </row>
    <row r="317" spans="1:13" x14ac:dyDescent="0.2">
      <c r="A317" s="12">
        <v>46</v>
      </c>
      <c r="B317" s="626">
        <f t="shared" si="23"/>
        <v>4.3216667307763608</v>
      </c>
      <c r="C317" s="172">
        <f t="shared" si="29"/>
        <v>14.668727035009002</v>
      </c>
      <c r="D317" s="172">
        <f t="shared" si="30"/>
        <v>13.576916452670433</v>
      </c>
      <c r="E317" s="626">
        <f t="shared" si="31"/>
        <v>0.13558741805331367</v>
      </c>
      <c r="F317" s="597">
        <v>546</v>
      </c>
      <c r="G317" s="626">
        <f t="shared" si="24"/>
        <v>1.254393709093264</v>
      </c>
      <c r="H317" s="172">
        <f t="shared" si="32"/>
        <v>1.2358268197992932</v>
      </c>
      <c r="I317" s="172">
        <f t="shared" si="33"/>
        <v>3.9407940611966503</v>
      </c>
      <c r="J317" s="626">
        <f t="shared" si="34"/>
        <v>1</v>
      </c>
      <c r="K317" s="597"/>
      <c r="L317" s="597"/>
      <c r="M317" s="598"/>
    </row>
    <row r="318" spans="1:13" x14ac:dyDescent="0.2">
      <c r="A318" s="12">
        <v>47</v>
      </c>
      <c r="B318" s="626">
        <f t="shared" si="23"/>
        <v>4.2754443672679816</v>
      </c>
      <c r="C318" s="172">
        <f t="shared" si="29"/>
        <v>14.356626459796047</v>
      </c>
      <c r="D318" s="172">
        <f t="shared" si="30"/>
        <v>13.431704615040953</v>
      </c>
      <c r="E318" s="626">
        <f t="shared" si="31"/>
        <v>0.13853497061969003</v>
      </c>
      <c r="F318" s="597">
        <v>547</v>
      </c>
      <c r="G318" s="626">
        <f t="shared" si="24"/>
        <v>1.2532465724023854</v>
      </c>
      <c r="H318" s="172">
        <f t="shared" si="32"/>
        <v>1.2335675385930791</v>
      </c>
      <c r="I318" s="172">
        <f t="shared" si="33"/>
        <v>3.9371902249959225</v>
      </c>
      <c r="J318" s="626">
        <f t="shared" si="34"/>
        <v>1</v>
      </c>
      <c r="K318" s="597"/>
      <c r="L318" s="597"/>
      <c r="M318" s="598"/>
    </row>
    <row r="319" spans="1:13" x14ac:dyDescent="0.2">
      <c r="A319" s="12">
        <v>48</v>
      </c>
      <c r="B319" s="626">
        <f t="shared" si="23"/>
        <v>4.2306740825866163</v>
      </c>
      <c r="C319" s="172">
        <f t="shared" si="29"/>
        <v>14.057530075216967</v>
      </c>
      <c r="D319" s="172">
        <f t="shared" si="30"/>
        <v>13.291054617586852</v>
      </c>
      <c r="E319" s="626">
        <f t="shared" si="31"/>
        <v>0.14148252318606638</v>
      </c>
      <c r="F319" s="597">
        <v>548</v>
      </c>
      <c r="G319" s="626">
        <f t="shared" si="24"/>
        <v>1.2521025771184158</v>
      </c>
      <c r="H319" s="172">
        <f t="shared" si="32"/>
        <v>1.2313165029387119</v>
      </c>
      <c r="I319" s="172">
        <f t="shared" si="33"/>
        <v>3.9335962578160624</v>
      </c>
      <c r="J319" s="626">
        <f t="shared" si="34"/>
        <v>1</v>
      </c>
      <c r="K319" s="597"/>
      <c r="L319" s="597"/>
      <c r="M319" s="598"/>
    </row>
    <row r="320" spans="1:13" x14ac:dyDescent="0.2">
      <c r="A320" s="12">
        <v>49</v>
      </c>
      <c r="B320" s="626">
        <f t="shared" si="23"/>
        <v>4.187281406459924</v>
      </c>
      <c r="C320" s="172">
        <f t="shared" si="29"/>
        <v>13.770641706334983</v>
      </c>
      <c r="D320" s="172">
        <f t="shared" si="30"/>
        <v>13.154732505047633</v>
      </c>
      <c r="E320" s="626">
        <f t="shared" si="31"/>
        <v>0.14443007575244279</v>
      </c>
      <c r="F320" s="597">
        <v>549</v>
      </c>
      <c r="G320" s="626">
        <f t="shared" si="24"/>
        <v>1.2509617089296998</v>
      </c>
      <c r="H320" s="172">
        <f t="shared" si="32"/>
        <v>1.2290736677785321</v>
      </c>
      <c r="I320" s="172">
        <f t="shared" si="33"/>
        <v>3.9300121146956779</v>
      </c>
      <c r="J320" s="626">
        <f t="shared" si="34"/>
        <v>1</v>
      </c>
      <c r="K320" s="597"/>
      <c r="L320" s="597"/>
      <c r="M320" s="598"/>
    </row>
    <row r="321" spans="1:13" x14ac:dyDescent="0.2">
      <c r="A321" s="12">
        <v>50</v>
      </c>
      <c r="B321" s="626">
        <f t="shared" si="23"/>
        <v>4.1451971081418186</v>
      </c>
      <c r="C321" s="172">
        <f t="shared" si="29"/>
        <v>13.49522887220828</v>
      </c>
      <c r="D321" s="172">
        <f t="shared" si="30"/>
        <v>13.022520782619992</v>
      </c>
      <c r="E321" s="626">
        <f t="shared" si="31"/>
        <v>0.14737762831881923</v>
      </c>
      <c r="F321" s="597">
        <v>550</v>
      </c>
      <c r="G321" s="626">
        <f t="shared" si="24"/>
        <v>1.2498239536156974</v>
      </c>
      <c r="H321" s="172">
        <f t="shared" si="32"/>
        <v>1.2268389883825717</v>
      </c>
      <c r="I321" s="172">
        <f t="shared" si="33"/>
        <v>3.9264377509596255</v>
      </c>
      <c r="J321" s="626">
        <f t="shared" si="34"/>
        <v>1</v>
      </c>
      <c r="K321" s="597"/>
      <c r="L321" s="597"/>
      <c r="M321" s="598"/>
    </row>
    <row r="322" spans="1:13" x14ac:dyDescent="0.2">
      <c r="A322" s="12">
        <v>51</v>
      </c>
      <c r="B322" s="626">
        <f t="shared" si="23"/>
        <v>4.104356731780638</v>
      </c>
      <c r="C322" s="172">
        <f t="shared" si="29"/>
        <v>13.230616541380673</v>
      </c>
      <c r="D322" s="172">
        <f t="shared" si="30"/>
        <v>12.894216956273866</v>
      </c>
      <c r="E322" s="626">
        <f t="shared" si="31"/>
        <v>0.15032518088519556</v>
      </c>
      <c r="F322" s="597">
        <v>551</v>
      </c>
      <c r="G322" s="626">
        <f t="shared" si="24"/>
        <v>1.2486892970462393</v>
      </c>
      <c r="H322" s="172">
        <f t="shared" si="32"/>
        <v>1.2246124203455793</v>
      </c>
      <c r="I322" s="172">
        <f t="shared" si="33"/>
        <v>3.9228731222166684</v>
      </c>
      <c r="J322" s="626">
        <f t="shared" si="34"/>
        <v>1</v>
      </c>
      <c r="K322" s="597"/>
      <c r="L322" s="597"/>
      <c r="M322" s="598"/>
    </row>
    <row r="323" spans="1:13" x14ac:dyDescent="0.2">
      <c r="A323" s="12">
        <v>52</v>
      </c>
      <c r="B323" s="626">
        <f t="shared" si="23"/>
        <v>4.0647001811737535</v>
      </c>
      <c r="C323" s="172">
        <f t="shared" si="29"/>
        <v>12.976181607892585</v>
      </c>
      <c r="D323" s="172">
        <f t="shared" si="30"/>
        <v>12.769632228220566</v>
      </c>
      <c r="E323" s="626">
        <f t="shared" si="31"/>
        <v>0.15327273345157194</v>
      </c>
      <c r="F323" s="597">
        <v>552</v>
      </c>
      <c r="G323" s="626">
        <f t="shared" si="24"/>
        <v>1.247557725180791</v>
      </c>
      <c r="H323" s="172">
        <f t="shared" si="32"/>
        <v>1.2223939195840838</v>
      </c>
      <c r="I323" s="172">
        <f t="shared" si="33"/>
        <v>3.9193181843571669</v>
      </c>
      <c r="J323" s="626">
        <f t="shared" si="34"/>
        <v>1</v>
      </c>
      <c r="K323" s="597"/>
      <c r="L323" s="597"/>
      <c r="M323" s="598"/>
    </row>
    <row r="324" spans="1:13" x14ac:dyDescent="0.2">
      <c r="A324" s="12">
        <v>53</v>
      </c>
      <c r="B324" s="626">
        <f t="shared" si="23"/>
        <v>4.0261713478223644</v>
      </c>
      <c r="C324" s="172">
        <f t="shared" si="29"/>
        <v>12.731347992649324</v>
      </c>
      <c r="D324" s="172">
        <f t="shared" si="30"/>
        <v>12.648590328412455</v>
      </c>
      <c r="E324" s="626">
        <f t="shared" si="31"/>
        <v>0.15622028601794832</v>
      </c>
      <c r="F324" s="597">
        <v>553</v>
      </c>
      <c r="G324" s="626">
        <f t="shared" si="24"/>
        <v>1.2464292240677219</v>
      </c>
      <c r="H324" s="172">
        <f t="shared" si="32"/>
        <v>1.2201834423334796</v>
      </c>
      <c r="I324" s="172">
        <f t="shared" si="33"/>
        <v>3.9157728935507814</v>
      </c>
      <c r="J324" s="626">
        <f t="shared" si="34"/>
        <v>1</v>
      </c>
      <c r="K324" s="597"/>
      <c r="L324" s="597"/>
      <c r="M324" s="598"/>
    </row>
    <row r="325" spans="1:13" x14ac:dyDescent="0.2">
      <c r="A325" s="12">
        <v>54</v>
      </c>
      <c r="B325" s="626">
        <f t="shared" si="23"/>
        <v>3.9887177770495623</v>
      </c>
      <c r="C325" s="172">
        <f t="shared" si="29"/>
        <v>12.495582289081744</v>
      </c>
      <c r="D325" s="172">
        <f t="shared" si="30"/>
        <v>12.530926465621915</v>
      </c>
      <c r="E325" s="626">
        <f t="shared" si="31"/>
        <v>0.15916783858432473</v>
      </c>
      <c r="F325" s="597">
        <v>554</v>
      </c>
      <c r="G325" s="626">
        <f t="shared" si="24"/>
        <v>1.2453037798435835</v>
      </c>
      <c r="H325" s="172">
        <f t="shared" si="32"/>
        <v>1.217980945145152</v>
      </c>
      <c r="I325" s="172">
        <f t="shared" si="33"/>
        <v>3.9122372062442032</v>
      </c>
      <c r="J325" s="626">
        <f t="shared" si="34"/>
        <v>1</v>
      </c>
      <c r="K325" s="597"/>
      <c r="L325" s="597"/>
      <c r="M325" s="598"/>
    </row>
    <row r="326" spans="1:13" x14ac:dyDescent="0.2">
      <c r="A326" s="12">
        <v>55</v>
      </c>
      <c r="B326" s="626">
        <f t="shared" si="23"/>
        <v>3.9522903676622403</v>
      </c>
      <c r="C326" s="172">
        <f t="shared" si="29"/>
        <v>12.268389883825712</v>
      </c>
      <c r="D326" s="172">
        <f t="shared" si="30"/>
        <v>12.416486383901397</v>
      </c>
      <c r="E326" s="626">
        <f t="shared" si="31"/>
        <v>0.16211539115070114</v>
      </c>
      <c r="F326" s="597">
        <v>555</v>
      </c>
      <c r="G326" s="626">
        <f t="shared" si="24"/>
        <v>1.2441813787323941</v>
      </c>
      <c r="H326" s="172">
        <f t="shared" si="32"/>
        <v>1.215786384883629</v>
      </c>
      <c r="I326" s="172">
        <f t="shared" si="33"/>
        <v>3.9087110791589095</v>
      </c>
      <c r="J326" s="626">
        <f t="shared" si="34"/>
        <v>1</v>
      </c>
      <c r="K326" s="597"/>
      <c r="L326" s="597"/>
      <c r="M326" s="598"/>
    </row>
    <row r="327" spans="1:13" x14ac:dyDescent="0.2">
      <c r="A327" s="12">
        <v>56</v>
      </c>
      <c r="B327" s="626">
        <f t="shared" si="23"/>
        <v>3.9168431012454881</v>
      </c>
      <c r="C327" s="172">
        <f t="shared" si="29"/>
        <v>12.04931149304311</v>
      </c>
      <c r="D327" s="172">
        <f t="shared" si="30"/>
        <v>12.305125512136687</v>
      </c>
      <c r="E327" s="626">
        <f t="shared" si="31"/>
        <v>0.16506294371707753</v>
      </c>
      <c r="F327" s="597">
        <v>556</v>
      </c>
      <c r="G327" s="626">
        <f t="shared" si="24"/>
        <v>1.2430620070449303</v>
      </c>
      <c r="H327" s="172">
        <f t="shared" si="32"/>
        <v>1.2135997187237668</v>
      </c>
      <c r="I327" s="172">
        <f t="shared" si="33"/>
        <v>3.9051944692889369</v>
      </c>
      <c r="J327" s="626">
        <f t="shared" si="34"/>
        <v>1</v>
      </c>
      <c r="K327" s="597"/>
      <c r="L327" s="597"/>
      <c r="M327" s="598"/>
    </row>
    <row r="328" spans="1:13" x14ac:dyDescent="0.2">
      <c r="A328" s="12">
        <v>57</v>
      </c>
      <c r="B328" s="626">
        <f t="shared" si="23"/>
        <v>3.8823327976950965</v>
      </c>
      <c r="C328" s="172">
        <f t="shared" si="29"/>
        <v>11.837920063340601</v>
      </c>
      <c r="D328" s="172">
        <f t="shared" si="30"/>
        <v>12.196708196029624</v>
      </c>
      <c r="E328" s="626">
        <f t="shared" si="31"/>
        <v>0.16801049628345385</v>
      </c>
      <c r="F328" s="597">
        <v>557</v>
      </c>
      <c r="G328" s="626">
        <f t="shared" si="24"/>
        <v>1.2419456511780251</v>
      </c>
      <c r="H328" s="172">
        <f t="shared" si="32"/>
        <v>1.2114209041479609</v>
      </c>
      <c r="I328" s="172">
        <f t="shared" si="33"/>
        <v>3.9016873338986757</v>
      </c>
      <c r="J328" s="626">
        <f t="shared" si="34"/>
        <v>1</v>
      </c>
      <c r="K328" s="597"/>
      <c r="L328" s="597"/>
      <c r="M328" s="598"/>
    </row>
    <row r="329" spans="1:13" x14ac:dyDescent="0.2">
      <c r="A329" s="12">
        <v>58</v>
      </c>
      <c r="B329" s="626">
        <f t="shared" si="23"/>
        <v>3.8487188940346626</v>
      </c>
      <c r="C329" s="172">
        <f t="shared" si="29"/>
        <v>11.633817993283003</v>
      </c>
      <c r="D329" s="172">
        <f t="shared" si="30"/>
        <v>12.09110700323153</v>
      </c>
      <c r="E329" s="626">
        <f t="shared" si="31"/>
        <v>0.17095804884983029</v>
      </c>
      <c r="F329" s="597">
        <v>558</v>
      </c>
      <c r="G329" s="626">
        <f t="shared" si="24"/>
        <v>1.2408322976138755</v>
      </c>
      <c r="H329" s="172">
        <f t="shared" si="32"/>
        <v>1.2092498989433946</v>
      </c>
      <c r="I329" s="172">
        <f t="shared" si="33"/>
        <v>3.8981896305206951</v>
      </c>
      <c r="J329" s="626">
        <f t="shared" si="34"/>
        <v>1</v>
      </c>
      <c r="K329" s="597"/>
      <c r="L329" s="597"/>
      <c r="M329" s="598"/>
    </row>
    <row r="330" spans="1:13" x14ac:dyDescent="0.2">
      <c r="A330" s="12">
        <v>59</v>
      </c>
      <c r="B330" s="626">
        <f t="shared" si="23"/>
        <v>3.8159632439408901</v>
      </c>
      <c r="C330" s="172">
        <f t="shared" si="29"/>
        <v>11.436634637464648</v>
      </c>
      <c r="D330" s="172">
        <f t="shared" si="30"/>
        <v>11.988202093533376</v>
      </c>
      <c r="E330" s="626">
        <f t="shared" si="31"/>
        <v>0.17390560141620662</v>
      </c>
      <c r="F330" s="597">
        <v>559</v>
      </c>
      <c r="G330" s="626">
        <f t="shared" si="24"/>
        <v>1.239721932919353</v>
      </c>
      <c r="H330" s="172">
        <f t="shared" si="32"/>
        <v>1.2070866611993096</v>
      </c>
      <c r="I330" s="172">
        <f t="shared" si="33"/>
        <v>3.8947013169535776</v>
      </c>
      <c r="J330" s="626">
        <f t="shared" si="34"/>
        <v>1</v>
      </c>
      <c r="K330" s="597"/>
      <c r="L330" s="597"/>
      <c r="M330" s="598"/>
    </row>
    <row r="331" spans="1:13" x14ac:dyDescent="0.2">
      <c r="A331" s="12">
        <v>60</v>
      </c>
      <c r="B331" s="626">
        <f t="shared" si="23"/>
        <v>3.7840299357240932</v>
      </c>
      <c r="C331" s="172">
        <f t="shared" si="29"/>
        <v>11.246024060173571</v>
      </c>
      <c r="D331" s="172">
        <f t="shared" si="30"/>
        <v>11.887880647034669</v>
      </c>
      <c r="E331" s="626">
        <f t="shared" si="31"/>
        <v>0.17685315398258303</v>
      </c>
      <c r="F331" s="597">
        <v>560</v>
      </c>
      <c r="G331" s="626">
        <f t="shared" si="24"/>
        <v>1.2386145437453242</v>
      </c>
      <c r="H331" s="172">
        <f t="shared" si="32"/>
        <v>1.2049311493043113</v>
      </c>
      <c r="I331" s="172">
        <f t="shared" si="33"/>
        <v>3.8912223512597839</v>
      </c>
      <c r="J331" s="626">
        <f t="shared" si="34"/>
        <v>1</v>
      </c>
      <c r="K331" s="597"/>
      <c r="L331" s="597"/>
      <c r="M331" s="598"/>
    </row>
    <row r="332" spans="1:13" x14ac:dyDescent="0.2">
      <c r="A332" s="12">
        <v>61</v>
      </c>
      <c r="B332" s="626">
        <f t="shared" si="23"/>
        <v>3.7528851267890997</v>
      </c>
      <c r="C332" s="172">
        <f t="shared" si="29"/>
        <v>11.061663010006791</v>
      </c>
      <c r="D332" s="172">
        <f t="shared" si="30"/>
        <v>11.790036344087035</v>
      </c>
      <c r="E332" s="626">
        <f t="shared" si="31"/>
        <v>0.17980070654895938</v>
      </c>
      <c r="F332" s="597">
        <v>561</v>
      </c>
      <c r="G332" s="626">
        <f t="shared" si="24"/>
        <v>1.2375101168259757</v>
      </c>
      <c r="H332" s="172">
        <f t="shared" si="32"/>
        <v>1.2027833219436974</v>
      </c>
      <c r="I332" s="172">
        <f t="shared" si="33"/>
        <v>3.8877526917635317</v>
      </c>
      <c r="J332" s="626">
        <f t="shared" si="34"/>
        <v>1</v>
      </c>
      <c r="K332" s="597"/>
      <c r="L332" s="597"/>
      <c r="M332" s="598"/>
    </row>
    <row r="333" spans="1:13" x14ac:dyDescent="0.2">
      <c r="A333" s="12">
        <v>62</v>
      </c>
      <c r="B333" s="626">
        <f t="shared" si="23"/>
        <v>3.7224968928416264</v>
      </c>
      <c r="C333" s="172">
        <f t="shared" si="29"/>
        <v>10.883249090490551</v>
      </c>
      <c r="D333" s="172">
        <f t="shared" si="30"/>
        <v>11.694568891562085</v>
      </c>
      <c r="E333" s="626">
        <f t="shared" si="31"/>
        <v>0.18274825911533582</v>
      </c>
      <c r="F333" s="597">
        <v>562</v>
      </c>
      <c r="G333" s="626">
        <f t="shared" si="24"/>
        <v>1.2364086389781477</v>
      </c>
      <c r="H333" s="172">
        <f t="shared" si="32"/>
        <v>1.2006431380968225</v>
      </c>
      <c r="I333" s="172">
        <f t="shared" si="33"/>
        <v>3.8842922970487033</v>
      </c>
      <c r="J333" s="626">
        <f t="shared" si="34"/>
        <v>1</v>
      </c>
      <c r="K333" s="597"/>
      <c r="L333" s="597"/>
      <c r="M333" s="598"/>
    </row>
    <row r="334" spans="1:13" x14ac:dyDescent="0.2">
      <c r="A334" s="12">
        <v>63</v>
      </c>
      <c r="B334" s="626">
        <f t="shared" si="23"/>
        <v>3.6928350903125757</v>
      </c>
      <c r="C334" s="172">
        <f t="shared" si="29"/>
        <v>10.71049910492721</v>
      </c>
      <c r="D334" s="172">
        <f t="shared" si="30"/>
        <v>11.601383590644588</v>
      </c>
      <c r="E334" s="626">
        <f t="shared" si="31"/>
        <v>0.18569581168171218</v>
      </c>
      <c r="F334" s="597">
        <v>563</v>
      </c>
      <c r="G334" s="626">
        <f t="shared" si="24"/>
        <v>1.2353100971006723</v>
      </c>
      <c r="H334" s="172">
        <f t="shared" si="32"/>
        <v>1.1985105570344838</v>
      </c>
      <c r="I334" s="172">
        <f t="shared" si="33"/>
        <v>3.8808411259567661</v>
      </c>
      <c r="J334" s="626">
        <f t="shared" si="34"/>
        <v>1</v>
      </c>
      <c r="K334" s="597"/>
      <c r="L334" s="597"/>
      <c r="M334" s="598"/>
    </row>
    <row r="335" spans="1:13" x14ac:dyDescent="0.2">
      <c r="A335" s="12">
        <v>64</v>
      </c>
      <c r="B335" s="626">
        <f t="shared" si="23"/>
        <v>3.6638712306524335</v>
      </c>
      <c r="C335" s="172">
        <f t="shared" si="29"/>
        <v>10.543147556412721</v>
      </c>
      <c r="D335" s="172">
        <f t="shared" si="30"/>
        <v>11.510390941916679</v>
      </c>
      <c r="E335" s="626">
        <f t="shared" si="31"/>
        <v>0.18864336424808856</v>
      </c>
      <c r="F335" s="597">
        <v>564</v>
      </c>
      <c r="G335" s="626">
        <f t="shared" si="24"/>
        <v>1.2342144781737192</v>
      </c>
      <c r="H335" s="172">
        <f t="shared" si="32"/>
        <v>1.1963855383163373</v>
      </c>
      <c r="I335" s="172">
        <f t="shared" si="33"/>
        <v>3.8773991375847165</v>
      </c>
      <c r="J335" s="626">
        <f t="shared" si="34"/>
        <v>1</v>
      </c>
      <c r="K335" s="597"/>
      <c r="L335" s="597"/>
      <c r="M335" s="598"/>
    </row>
    <row r="336" spans="1:13" x14ac:dyDescent="0.2">
      <c r="A336" s="12">
        <v>65</v>
      </c>
      <c r="B336" s="626">
        <f t="shared" ref="B336:B399" si="35">SQRT(PI()*$I$266*$I$264/SQRT(3)/A336)</f>
        <v>3.6355783653040894</v>
      </c>
      <c r="C336" s="172">
        <f t="shared" si="29"/>
        <v>10.380945286314065</v>
      </c>
      <c r="D336" s="172">
        <f t="shared" si="30"/>
        <v>11.421506283989316</v>
      </c>
      <c r="E336" s="626">
        <f t="shared" si="31"/>
        <v>0.19159091681446497</v>
      </c>
      <c r="F336" s="597">
        <v>565</v>
      </c>
      <c r="G336" s="626">
        <f t="shared" ref="G336:G399" si="36">SQRT(PI()*$I$266*$I$264/SQRT(3)/F336)</f>
        <v>1.233121769258148</v>
      </c>
      <c r="H336" s="172">
        <f t="shared" si="32"/>
        <v>1.1942680417883438</v>
      </c>
      <c r="I336" s="172">
        <f t="shared" si="33"/>
        <v>3.8739662912830455</v>
      </c>
      <c r="J336" s="626">
        <f t="shared" si="34"/>
        <v>1</v>
      </c>
      <c r="K336" s="597"/>
      <c r="L336" s="597"/>
      <c r="M336" s="598"/>
    </row>
    <row r="337" spans="1:13" x14ac:dyDescent="0.2">
      <c r="A337" s="12">
        <v>66</v>
      </c>
      <c r="B337" s="626">
        <f t="shared" si="35"/>
        <v>3.6079309802983262</v>
      </c>
      <c r="C337" s="172">
        <f t="shared" ref="C337:C400" si="37">PI()*B337^2/4</f>
        <v>10.223658236521429</v>
      </c>
      <c r="D337" s="172">
        <f t="shared" ref="D337:D400" si="38">PI()*B337</f>
        <v>11.334649462364242</v>
      </c>
      <c r="E337" s="626">
        <f t="shared" ref="E337:E400" si="39">IF(A337&lt;=$C$265,(D337*$I$265/PI()^2/C337)*SQRT(A337/$B$265),IF(A337&lt;$B$265,($C$270-$B$270)/($C$265-$B$265)*A337+($C$265*$B$270-$B$265*$C$270)/($C$265-$B$265),IF(A337=$B$265,0.45*SQRT(D337/$I$265),IF(A337&lt;$D$265,($B$270-$D$270)/($B$265-$D$265)*A337+($B$265*$D$270-$D$265*$B$270)/($B$265-$D$265),1))))</f>
        <v>0.19453846938084132</v>
      </c>
      <c r="F337" s="597">
        <v>566</v>
      </c>
      <c r="G337" s="626">
        <f t="shared" si="36"/>
        <v>1.2320319574948657</v>
      </c>
      <c r="H337" s="172">
        <f t="shared" si="32"/>
        <v>1.192158027580237</v>
      </c>
      <c r="I337" s="172">
        <f t="shared" si="33"/>
        <v>3.8705425466537222</v>
      </c>
      <c r="J337" s="626">
        <f t="shared" si="34"/>
        <v>1</v>
      </c>
      <c r="K337" s="597"/>
      <c r="L337" s="597"/>
      <c r="M337" s="598"/>
    </row>
    <row r="338" spans="1:13" x14ac:dyDescent="0.2">
      <c r="A338" s="12">
        <v>67</v>
      </c>
      <c r="B338" s="626">
        <f t="shared" si="35"/>
        <v>3.5809048995348802</v>
      </c>
      <c r="C338" s="172">
        <f t="shared" si="37"/>
        <v>10.071066322543496</v>
      </c>
      <c r="D338" s="172">
        <f t="shared" si="38"/>
        <v>11.249744525582475</v>
      </c>
      <c r="E338" s="626">
        <f t="shared" si="39"/>
        <v>0.19748602194721768</v>
      </c>
      <c r="F338" s="597">
        <v>567</v>
      </c>
      <c r="G338" s="626">
        <f t="shared" si="36"/>
        <v>1.2309450301041918</v>
      </c>
      <c r="H338" s="172">
        <f t="shared" si="32"/>
        <v>1.1900554561030232</v>
      </c>
      <c r="I338" s="172">
        <f t="shared" si="33"/>
        <v>3.8671278635481956</v>
      </c>
      <c r="J338" s="626">
        <f t="shared" si="34"/>
        <v>1</v>
      </c>
      <c r="K338" s="597"/>
      <c r="L338" s="597"/>
      <c r="M338" s="598"/>
    </row>
    <row r="339" spans="1:13" x14ac:dyDescent="0.2">
      <c r="A339" s="12">
        <v>68</v>
      </c>
      <c r="B339" s="626">
        <f t="shared" si="35"/>
        <v>3.5544771959157058</v>
      </c>
      <c r="C339" s="172">
        <f t="shared" si="37"/>
        <v>9.9229624060355022</v>
      </c>
      <c r="D339" s="172">
        <f t="shared" si="38"/>
        <v>11.166719446041229</v>
      </c>
      <c r="E339" s="626">
        <f t="shared" si="39"/>
        <v>0.20043357451359411</v>
      </c>
      <c r="F339" s="597">
        <v>568</v>
      </c>
      <c r="G339" s="626">
        <f t="shared" si="36"/>
        <v>1.2298609743852285</v>
      </c>
      <c r="H339" s="172">
        <f t="shared" si="32"/>
        <v>1.1879602880465039</v>
      </c>
      <c r="I339" s="172">
        <f t="shared" si="33"/>
        <v>3.8637222020654183</v>
      </c>
      <c r="J339" s="626">
        <f t="shared" si="34"/>
        <v>1</v>
      </c>
      <c r="K339" s="597"/>
      <c r="L339" s="597"/>
      <c r="M339" s="598"/>
    </row>
    <row r="340" spans="1:13" x14ac:dyDescent="0.2">
      <c r="A340" s="12">
        <v>69</v>
      </c>
      <c r="B340" s="626">
        <f t="shared" si="35"/>
        <v>3.5286261095880023</v>
      </c>
      <c r="C340" s="172">
        <f t="shared" si="37"/>
        <v>9.7791513566726707</v>
      </c>
      <c r="D340" s="172">
        <f t="shared" si="38"/>
        <v>11.0855058631468</v>
      </c>
      <c r="E340" s="626">
        <f t="shared" si="39"/>
        <v>0.20481138017149375</v>
      </c>
      <c r="F340" s="597">
        <v>569</v>
      </c>
      <c r="G340" s="626">
        <f t="shared" si="36"/>
        <v>1.2287797777152369</v>
      </c>
      <c r="H340" s="172">
        <f t="shared" si="32"/>
        <v>1.1858724843768267</v>
      </c>
      <c r="I340" s="172">
        <f t="shared" si="33"/>
        <v>3.8603255225498874</v>
      </c>
      <c r="J340" s="626">
        <f t="shared" si="34"/>
        <v>1</v>
      </c>
      <c r="K340" s="597"/>
      <c r="L340" s="597"/>
      <c r="M340" s="598"/>
    </row>
    <row r="341" spans="1:13" x14ac:dyDescent="0.2">
      <c r="A341" s="12">
        <v>70</v>
      </c>
      <c r="B341" s="626">
        <f t="shared" si="35"/>
        <v>3.5033309726344011</v>
      </c>
      <c r="C341" s="172">
        <f t="shared" si="37"/>
        <v>9.6394491944344889</v>
      </c>
      <c r="D341" s="172">
        <f t="shared" si="38"/>
        <v>11.006038846721818</v>
      </c>
      <c r="E341" s="626">
        <f t="shared" si="39"/>
        <v>0.21346545087453189</v>
      </c>
      <c r="F341" s="597">
        <v>570</v>
      </c>
      <c r="G341" s="626">
        <f t="shared" si="36"/>
        <v>1.2277014275490208</v>
      </c>
      <c r="H341" s="172">
        <f t="shared" si="32"/>
        <v>1.1837920063340601</v>
      </c>
      <c r="I341" s="172">
        <f t="shared" si="33"/>
        <v>3.8569377855897051</v>
      </c>
      <c r="J341" s="626">
        <f t="shared" si="34"/>
        <v>1</v>
      </c>
      <c r="K341" s="597"/>
      <c r="L341" s="597"/>
      <c r="M341" s="598"/>
    </row>
    <row r="342" spans="1:13" x14ac:dyDescent="0.2">
      <c r="A342" s="12">
        <v>71</v>
      </c>
      <c r="B342" s="626">
        <f t="shared" si="35"/>
        <v>3.4785721396179592</v>
      </c>
      <c r="C342" s="172">
        <f t="shared" si="37"/>
        <v>9.5036823043720293</v>
      </c>
      <c r="D342" s="172">
        <f t="shared" si="38"/>
        <v>10.928256678805909</v>
      </c>
      <c r="E342" s="626">
        <f t="shared" si="39"/>
        <v>0.22211952157756992</v>
      </c>
      <c r="F342" s="597">
        <v>571</v>
      </c>
      <c r="G342" s="626">
        <f t="shared" si="36"/>
        <v>1.2266259114183145</v>
      </c>
      <c r="H342" s="172">
        <f t="shared" si="32"/>
        <v>1.1817188154297971</v>
      </c>
      <c r="I342" s="172">
        <f t="shared" si="33"/>
        <v>3.8535589520146609</v>
      </c>
      <c r="J342" s="626">
        <f t="shared" si="34"/>
        <v>1</v>
      </c>
      <c r="K342" s="597"/>
      <c r="L342" s="597"/>
      <c r="M342" s="598"/>
    </row>
    <row r="343" spans="1:13" x14ac:dyDescent="0.2">
      <c r="A343" s="12">
        <v>72</v>
      </c>
      <c r="B343" s="626">
        <f t="shared" si="35"/>
        <v>3.4543309234515158</v>
      </c>
      <c r="C343" s="172">
        <f t="shared" si="37"/>
        <v>9.3716867168113076</v>
      </c>
      <c r="D343" s="172">
        <f t="shared" si="38"/>
        <v>10.852100652183328</v>
      </c>
      <c r="E343" s="626">
        <f t="shared" si="39"/>
        <v>0.23077359228060795</v>
      </c>
      <c r="F343" s="597">
        <v>572</v>
      </c>
      <c r="G343" s="626">
        <f t="shared" si="36"/>
        <v>1.2255532169311778</v>
      </c>
      <c r="H343" s="172">
        <f t="shared" si="32"/>
        <v>1.1796528734447802</v>
      </c>
      <c r="I343" s="172">
        <f t="shared" si="33"/>
        <v>3.8501889828943261</v>
      </c>
      <c r="J343" s="626">
        <f t="shared" si="34"/>
        <v>1</v>
      </c>
      <c r="K343" s="597"/>
      <c r="L343" s="597"/>
      <c r="M343" s="598"/>
    </row>
    <row r="344" spans="1:13" x14ac:dyDescent="0.2">
      <c r="A344" s="12">
        <v>73</v>
      </c>
      <c r="B344" s="626">
        <f t="shared" si="35"/>
        <v>3.4305895361156762</v>
      </c>
      <c r="C344" s="172">
        <f t="shared" si="37"/>
        <v>9.2433074467180028</v>
      </c>
      <c r="D344" s="172">
        <f t="shared" si="38"/>
        <v>10.777514884143024</v>
      </c>
      <c r="E344" s="626">
        <f t="shared" si="39"/>
        <v>0.23942766298364598</v>
      </c>
      <c r="F344" s="597">
        <v>573</v>
      </c>
      <c r="G344" s="626">
        <f t="shared" si="36"/>
        <v>1.2244833317713955</v>
      </c>
      <c r="H344" s="172">
        <f t="shared" si="32"/>
        <v>1.1775941424265519</v>
      </c>
      <c r="I344" s="172">
        <f t="shared" si="33"/>
        <v>3.8468278395361692</v>
      </c>
      <c r="J344" s="626">
        <f t="shared" si="34"/>
        <v>1</v>
      </c>
      <c r="K344" s="597"/>
      <c r="L344" s="597"/>
      <c r="M344" s="598"/>
    </row>
    <row r="345" spans="1:13" x14ac:dyDescent="0.2">
      <c r="A345" s="12">
        <v>74</v>
      </c>
      <c r="B345" s="626">
        <f t="shared" si="35"/>
        <v>3.4073310337980534</v>
      </c>
      <c r="C345" s="172">
        <f t="shared" si="37"/>
        <v>9.1183978866272195</v>
      </c>
      <c r="D345" s="172">
        <f t="shared" si="38"/>
        <v>10.704446144128479</v>
      </c>
      <c r="E345" s="626">
        <f t="shared" si="39"/>
        <v>0.24808173368668401</v>
      </c>
      <c r="F345" s="597">
        <v>574</v>
      </c>
      <c r="G345" s="626">
        <f t="shared" si="36"/>
        <v>1.2234162436978844</v>
      </c>
      <c r="H345" s="172">
        <f t="shared" si="32"/>
        <v>1.1755425846871326</v>
      </c>
      <c r="I345" s="172">
        <f t="shared" si="33"/>
        <v>3.8434754834836937</v>
      </c>
      <c r="J345" s="626">
        <f t="shared" si="34"/>
        <v>1</v>
      </c>
      <c r="K345" s="597"/>
      <c r="L345" s="597"/>
      <c r="M345" s="598"/>
    </row>
    <row r="346" spans="1:13" x14ac:dyDescent="0.2">
      <c r="A346" s="12">
        <v>75</v>
      </c>
      <c r="B346" s="626">
        <f t="shared" si="35"/>
        <v>3.3845392660692926</v>
      </c>
      <c r="C346" s="172">
        <f t="shared" si="37"/>
        <v>8.9968192481388556</v>
      </c>
      <c r="D346" s="172">
        <f t="shared" si="38"/>
        <v>10.63284369406948</v>
      </c>
      <c r="E346" s="626">
        <f t="shared" si="39"/>
        <v>0.25673580438972204</v>
      </c>
      <c r="F346" s="597">
        <v>575</v>
      </c>
      <c r="G346" s="626">
        <f t="shared" si="36"/>
        <v>1.222351940544105</v>
      </c>
      <c r="H346" s="172">
        <f t="shared" si="32"/>
        <v>1.1734981628007206</v>
      </c>
      <c r="I346" s="172">
        <f t="shared" si="33"/>
        <v>3.840131876514588</v>
      </c>
      <c r="J346" s="626">
        <f t="shared" si="34"/>
        <v>1</v>
      </c>
      <c r="K346" s="597"/>
      <c r="L346" s="597"/>
      <c r="M346" s="598"/>
    </row>
    <row r="347" spans="1:13" x14ac:dyDescent="0.2">
      <c r="A347" s="12">
        <v>76</v>
      </c>
      <c r="B347" s="626">
        <f t="shared" si="35"/>
        <v>3.3621988287494653</v>
      </c>
      <c r="C347" s="172">
        <f t="shared" si="37"/>
        <v>8.8784400475054497</v>
      </c>
      <c r="D347" s="172">
        <f t="shared" si="38"/>
        <v>10.562659140307527</v>
      </c>
      <c r="E347" s="626">
        <f t="shared" si="39"/>
        <v>0.26538987509276007</v>
      </c>
      <c r="F347" s="597">
        <v>576</v>
      </c>
      <c r="G347" s="626">
        <f t="shared" si="36"/>
        <v>1.2212904102174778</v>
      </c>
      <c r="H347" s="172">
        <f t="shared" si="32"/>
        <v>1.1714608396014135</v>
      </c>
      <c r="I347" s="172">
        <f t="shared" si="33"/>
        <v>3.8367969806388929</v>
      </c>
      <c r="J347" s="626">
        <f t="shared" si="34"/>
        <v>1</v>
      </c>
      <c r="K347" s="597"/>
      <c r="L347" s="597"/>
      <c r="M347" s="598"/>
    </row>
    <row r="348" spans="1:13" x14ac:dyDescent="0.2">
      <c r="A348" s="12">
        <v>77</v>
      </c>
      <c r="B348" s="626">
        <f t="shared" si="35"/>
        <v>3.3402950201522756</v>
      </c>
      <c r="C348" s="172">
        <f t="shared" si="37"/>
        <v>8.7631356313040811</v>
      </c>
      <c r="D348" s="172">
        <f t="shared" si="38"/>
        <v>10.493846296132959</v>
      </c>
      <c r="E348" s="626">
        <f t="shared" si="39"/>
        <v>0.27404394579579811</v>
      </c>
      <c r="F348" s="597">
        <v>577</v>
      </c>
      <c r="G348" s="626">
        <f t="shared" si="36"/>
        <v>1.2202316406988079</v>
      </c>
      <c r="H348" s="172">
        <f t="shared" si="32"/>
        <v>1.1694305781809606</v>
      </c>
      <c r="I348" s="172">
        <f t="shared" si="33"/>
        <v>3.833470758097195</v>
      </c>
      <c r="J348" s="626">
        <f t="shared" si="34"/>
        <v>1</v>
      </c>
      <c r="K348" s="597"/>
      <c r="L348" s="597"/>
      <c r="M348" s="598"/>
    </row>
    <row r="349" spans="1:13" x14ac:dyDescent="0.2">
      <c r="A349" s="12">
        <v>78</v>
      </c>
      <c r="B349" s="626">
        <f t="shared" si="35"/>
        <v>3.3188138004246781</v>
      </c>
      <c r="C349" s="172">
        <f t="shared" si="37"/>
        <v>8.6507877385950547</v>
      </c>
      <c r="D349" s="172">
        <f t="shared" si="38"/>
        <v>10.426361054046591</v>
      </c>
      <c r="E349" s="626">
        <f t="shared" si="39"/>
        <v>0.28269801649883614</v>
      </c>
      <c r="F349" s="597">
        <v>578</v>
      </c>
      <c r="G349" s="626">
        <f t="shared" si="36"/>
        <v>1.2191756200417114</v>
      </c>
      <c r="H349" s="172">
        <f t="shared" ref="H349:H412" si="40">PI()*G349^2/4</f>
        <v>1.1674073418865296</v>
      </c>
      <c r="I349" s="172">
        <f t="shared" ref="I349:I412" si="41">PI()*G349</f>
        <v>3.8301531713588215</v>
      </c>
      <c r="J349" s="626">
        <f t="shared" ref="J349:J412" si="42">IF(F349&lt;=$C$265,(I349*$I$265/PI()^2/H349)*SQRT(F349/$B$265),IF(F349&lt;$B$265,($C$270-$B$270)/($C$265-$B$265)*F349+($C$265*$B$270-$B$265*$C$270)/($C$265-$B$265),IF(F349=$B$265,0.45*SQRT(I349/$I$265),IF(F349&lt;$D$265,($B$270-$D$270)/($B$265-$D$265)*F349+($B$265*$D$270-$D$265*$B$270)/($B$265-$D$265),1))))</f>
        <v>1</v>
      </c>
      <c r="K349" s="597"/>
      <c r="L349" s="597"/>
      <c r="M349" s="598"/>
    </row>
    <row r="350" spans="1:13" x14ac:dyDescent="0.2">
      <c r="A350" s="12">
        <v>79</v>
      </c>
      <c r="B350" s="626">
        <f t="shared" si="35"/>
        <v>3.2977417537263958</v>
      </c>
      <c r="C350" s="172">
        <f t="shared" si="37"/>
        <v>8.5412840963343584</v>
      </c>
      <c r="D350" s="172">
        <f t="shared" si="38"/>
        <v>10.360161266943166</v>
      </c>
      <c r="E350" s="626">
        <f t="shared" si="39"/>
        <v>0.29135208720187417</v>
      </c>
      <c r="F350" s="597">
        <v>579</v>
      </c>
      <c r="G350" s="626">
        <f t="shared" si="36"/>
        <v>1.2181223363720517</v>
      </c>
      <c r="H350" s="172">
        <f t="shared" si="40"/>
        <v>1.1653910943185046</v>
      </c>
      <c r="I350" s="172">
        <f t="shared" si="41"/>
        <v>3.8268441831200724</v>
      </c>
      <c r="J350" s="626">
        <f t="shared" si="42"/>
        <v>1</v>
      </c>
      <c r="K350" s="597"/>
      <c r="L350" s="597"/>
      <c r="M350" s="598"/>
    </row>
    <row r="351" spans="1:13" x14ac:dyDescent="0.2">
      <c r="A351" s="12">
        <v>80</v>
      </c>
      <c r="B351" s="626">
        <f t="shared" si="35"/>
        <v>3.2770660530178612</v>
      </c>
      <c r="C351" s="172">
        <f t="shared" si="37"/>
        <v>8.4345180451301793</v>
      </c>
      <c r="D351" s="172">
        <f t="shared" si="38"/>
        <v>10.295206637489413</v>
      </c>
      <c r="E351" s="626">
        <f t="shared" si="39"/>
        <v>0.30000615790491231</v>
      </c>
      <c r="F351" s="597">
        <v>580</v>
      </c>
      <c r="G351" s="626">
        <f t="shared" si="36"/>
        <v>1.2170717778873765</v>
      </c>
      <c r="H351" s="172">
        <f t="shared" si="40"/>
        <v>1.1633817993283002</v>
      </c>
      <c r="I351" s="172">
        <f t="shared" si="41"/>
        <v>3.8235437563024504</v>
      </c>
      <c r="J351" s="626">
        <f t="shared" si="42"/>
        <v>1</v>
      </c>
      <c r="K351" s="597"/>
      <c r="L351" s="597"/>
      <c r="M351" s="598"/>
    </row>
    <row r="352" spans="1:13" x14ac:dyDescent="0.2">
      <c r="A352" s="12">
        <v>81</v>
      </c>
      <c r="B352" s="626">
        <f t="shared" si="35"/>
        <v>3.2567744272466079</v>
      </c>
      <c r="C352" s="172">
        <f t="shared" si="37"/>
        <v>8.3303881927211663</v>
      </c>
      <c r="D352" s="172">
        <f t="shared" si="38"/>
        <v>10.231458615037049</v>
      </c>
      <c r="E352" s="626">
        <f t="shared" si="39"/>
        <v>0.30866022860795034</v>
      </c>
      <c r="F352" s="597">
        <v>581</v>
      </c>
      <c r="G352" s="626">
        <f t="shared" si="36"/>
        <v>1.2160239328563636</v>
      </c>
      <c r="H352" s="172">
        <f t="shared" si="40"/>
        <v>1.1613794210162034</v>
      </c>
      <c r="I352" s="172">
        <f t="shared" si="41"/>
        <v>3.8202518540509196</v>
      </c>
      <c r="J352" s="626">
        <f t="shared" si="42"/>
        <v>1</v>
      </c>
      <c r="K352" s="597"/>
      <c r="L352" s="597"/>
      <c r="M352" s="598"/>
    </row>
    <row r="353" spans="1:13" x14ac:dyDescent="0.2">
      <c r="A353" s="12">
        <v>82</v>
      </c>
      <c r="B353" s="626">
        <f t="shared" si="35"/>
        <v>3.2368551307413944</v>
      </c>
      <c r="C353" s="172">
        <f t="shared" si="37"/>
        <v>8.228798092809928</v>
      </c>
      <c r="D353" s="172">
        <f t="shared" si="38"/>
        <v>10.168880299471594</v>
      </c>
      <c r="E353" s="626">
        <f t="shared" si="39"/>
        <v>0.31731429931098837</v>
      </c>
      <c r="F353" s="597">
        <v>582</v>
      </c>
      <c r="G353" s="626">
        <f t="shared" si="36"/>
        <v>1.21497878961827</v>
      </c>
      <c r="H353" s="172">
        <f t="shared" si="40"/>
        <v>1.1593839237292338</v>
      </c>
      <c r="I353" s="172">
        <f t="shared" si="41"/>
        <v>3.8169684397321757</v>
      </c>
      <c r="J353" s="626">
        <f t="shared" si="42"/>
        <v>1</v>
      </c>
      <c r="K353" s="597"/>
      <c r="L353" s="597"/>
      <c r="M353" s="598"/>
    </row>
    <row r="354" spans="1:13" x14ac:dyDescent="0.2">
      <c r="A354" s="12">
        <v>83</v>
      </c>
      <c r="B354" s="626">
        <f t="shared" si="35"/>
        <v>3.2172969146406434</v>
      </c>
      <c r="C354" s="172">
        <f t="shared" si="37"/>
        <v>8.129655947113422</v>
      </c>
      <c r="D354" s="172">
        <f t="shared" si="38"/>
        <v>10.107436351452153</v>
      </c>
      <c r="E354" s="626">
        <f t="shared" si="39"/>
        <v>0.3259683700140264</v>
      </c>
      <c r="F354" s="597">
        <v>583</v>
      </c>
      <c r="G354" s="626">
        <f t="shared" si="36"/>
        <v>1.2139363365823879</v>
      </c>
      <c r="H354" s="172">
        <f t="shared" si="40"/>
        <v>1.1573952720590295</v>
      </c>
      <c r="I354" s="172">
        <f t="shared" si="41"/>
        <v>3.813693476932936</v>
      </c>
      <c r="J354" s="626">
        <f t="shared" si="42"/>
        <v>1</v>
      </c>
      <c r="K354" s="597"/>
      <c r="L354" s="597"/>
      <c r="M354" s="598"/>
    </row>
    <row r="355" spans="1:13" x14ac:dyDescent="0.2">
      <c r="A355" s="12">
        <v>84</v>
      </c>
      <c r="B355" s="626">
        <f t="shared" si="35"/>
        <v>3.1980890001972924</v>
      </c>
      <c r="C355" s="172">
        <f t="shared" si="37"/>
        <v>8.0328743286954083</v>
      </c>
      <c r="D355" s="172">
        <f t="shared" si="38"/>
        <v>10.047092908546141</v>
      </c>
      <c r="E355" s="626">
        <f t="shared" si="39"/>
        <v>0.33462244071706443</v>
      </c>
      <c r="F355" s="597">
        <v>584</v>
      </c>
      <c r="G355" s="626">
        <f t="shared" si="36"/>
        <v>1.2128965622275034</v>
      </c>
      <c r="H355" s="172">
        <f t="shared" si="40"/>
        <v>1.1554134308397503</v>
      </c>
      <c r="I355" s="172">
        <f t="shared" si="41"/>
        <v>3.8104269294582402</v>
      </c>
      <c r="J355" s="626">
        <f t="shared" si="42"/>
        <v>1</v>
      </c>
      <c r="K355" s="597"/>
      <c r="L355" s="597"/>
      <c r="M355" s="598"/>
    </row>
    <row r="356" spans="1:13" x14ac:dyDescent="0.2">
      <c r="A356" s="12">
        <v>85</v>
      </c>
      <c r="B356" s="626">
        <f t="shared" si="35"/>
        <v>3.1792210538161427</v>
      </c>
      <c r="C356" s="172">
        <f t="shared" si="37"/>
        <v>7.9383699248284048</v>
      </c>
      <c r="D356" s="172">
        <f t="shared" si="38"/>
        <v>9.9878175068067936</v>
      </c>
      <c r="E356" s="626">
        <f t="shared" si="39"/>
        <v>0.34327651142010246</v>
      </c>
      <c r="F356" s="597">
        <v>585</v>
      </c>
      <c r="G356" s="626">
        <f t="shared" si="36"/>
        <v>1.2118594551013631</v>
      </c>
      <c r="H356" s="172">
        <f t="shared" si="40"/>
        <v>1.1534383651460072</v>
      </c>
      <c r="I356" s="172">
        <f t="shared" si="41"/>
        <v>3.807168761329772</v>
      </c>
      <c r="J356" s="626">
        <f t="shared" si="42"/>
        <v>1</v>
      </c>
      <c r="K356" s="597"/>
      <c r="L356" s="597"/>
      <c r="M356" s="598"/>
    </row>
    <row r="357" spans="1:13" x14ac:dyDescent="0.2">
      <c r="A357" s="12">
        <v>86</v>
      </c>
      <c r="B357" s="626">
        <f t="shared" si="35"/>
        <v>3.1606831636923731</v>
      </c>
      <c r="C357" s="172">
        <f t="shared" si="37"/>
        <v>7.8460632977955127</v>
      </c>
      <c r="D357" s="172">
        <f t="shared" si="38"/>
        <v>9.9295790073809052</v>
      </c>
      <c r="E357" s="626">
        <f t="shared" si="39"/>
        <v>0.35193058212314049</v>
      </c>
      <c r="F357" s="597">
        <v>586</v>
      </c>
      <c r="G357" s="626">
        <f t="shared" si="36"/>
        <v>1.2108250038201431</v>
      </c>
      <c r="H357" s="172">
        <f t="shared" si="40"/>
        <v>1.1514700402908093</v>
      </c>
      <c r="I357" s="172">
        <f t="shared" si="41"/>
        <v>3.803918936784195</v>
      </c>
      <c r="J357" s="626">
        <f t="shared" si="42"/>
        <v>1</v>
      </c>
      <c r="K357" s="597"/>
      <c r="L357" s="597"/>
      <c r="M357" s="598"/>
    </row>
    <row r="358" spans="1:13" x14ac:dyDescent="0.2">
      <c r="A358" s="12">
        <v>87</v>
      </c>
      <c r="B358" s="626">
        <f t="shared" si="35"/>
        <v>3.142465817931241</v>
      </c>
      <c r="C358" s="172">
        <f t="shared" si="37"/>
        <v>7.7558786621886684</v>
      </c>
      <c r="D358" s="172">
        <f t="shared" si="38"/>
        <v>9.8723475277698274</v>
      </c>
      <c r="E358" s="626">
        <f t="shared" si="39"/>
        <v>0.36058465282617852</v>
      </c>
      <c r="F358" s="597">
        <v>587</v>
      </c>
      <c r="G358" s="626">
        <f t="shared" si="36"/>
        <v>1.209793197067925</v>
      </c>
      <c r="H358" s="172">
        <f t="shared" si="40"/>
        <v>1.1495084218235334</v>
      </c>
      <c r="I358" s="172">
        <f t="shared" si="41"/>
        <v>3.8006774202715019</v>
      </c>
      <c r="J358" s="626">
        <f t="shared" si="42"/>
        <v>1</v>
      </c>
      <c r="K358" s="597"/>
      <c r="L358" s="597"/>
      <c r="M358" s="598"/>
    </row>
    <row r="359" spans="1:13" x14ac:dyDescent="0.2">
      <c r="A359" s="12">
        <v>88</v>
      </c>
      <c r="B359" s="626">
        <f t="shared" si="35"/>
        <v>3.1245598840392432</v>
      </c>
      <c r="C359" s="172">
        <f t="shared" si="37"/>
        <v>7.6677436773910701</v>
      </c>
      <c r="D359" s="172">
        <f t="shared" si="38"/>
        <v>9.8160943773990628</v>
      </c>
      <c r="E359" s="626">
        <f t="shared" si="39"/>
        <v>0.36923872352921655</v>
      </c>
      <c r="F359" s="597">
        <v>588</v>
      </c>
      <c r="G359" s="626">
        <f t="shared" si="36"/>
        <v>1.2087640235961761</v>
      </c>
      <c r="H359" s="172">
        <f t="shared" si="40"/>
        <v>1.1475534755279155</v>
      </c>
      <c r="I359" s="172">
        <f t="shared" si="41"/>
        <v>3.7974441764533862</v>
      </c>
      <c r="J359" s="626">
        <f t="shared" si="42"/>
        <v>1</v>
      </c>
      <c r="K359" s="597"/>
      <c r="L359" s="597"/>
      <c r="M359" s="598"/>
    </row>
    <row r="360" spans="1:13" x14ac:dyDescent="0.2">
      <c r="A360" s="12">
        <v>89</v>
      </c>
      <c r="B360" s="626">
        <f t="shared" si="35"/>
        <v>3.1069565896862983</v>
      </c>
      <c r="C360" s="172">
        <f t="shared" si="37"/>
        <v>7.5815892540495984</v>
      </c>
      <c r="D360" s="172">
        <f t="shared" si="38"/>
        <v>9.7607919971808723</v>
      </c>
      <c r="E360" s="626">
        <f t="shared" si="39"/>
        <v>0.37789279423225458</v>
      </c>
      <c r="F360" s="597">
        <v>589</v>
      </c>
      <c r="G360" s="626">
        <f t="shared" si="36"/>
        <v>1.207737472223233</v>
      </c>
      <c r="H360" s="172">
        <f t="shared" si="40"/>
        <v>1.145605167420058</v>
      </c>
      <c r="I360" s="172">
        <f t="shared" si="41"/>
        <v>3.7942191702016155</v>
      </c>
      <c r="J360" s="626">
        <f t="shared" si="42"/>
        <v>1</v>
      </c>
      <c r="K360" s="597"/>
      <c r="L360" s="597"/>
      <c r="M360" s="598"/>
    </row>
    <row r="361" spans="1:13" x14ac:dyDescent="0.2">
      <c r="A361" s="12">
        <v>90</v>
      </c>
      <c r="B361" s="626">
        <f t="shared" si="35"/>
        <v>3.0896475046468845</v>
      </c>
      <c r="C361" s="172">
        <f t="shared" si="37"/>
        <v>7.4973493734490448</v>
      </c>
      <c r="D361" s="172">
        <f t="shared" si="38"/>
        <v>9.7064139027806888</v>
      </c>
      <c r="E361" s="626">
        <f t="shared" si="39"/>
        <v>0.38654686493529261</v>
      </c>
      <c r="F361" s="597">
        <v>590</v>
      </c>
      <c r="G361" s="626">
        <f t="shared" si="36"/>
        <v>1.2067135318337936</v>
      </c>
      <c r="H361" s="172">
        <f t="shared" si="40"/>
        <v>1.1436634637464647</v>
      </c>
      <c r="I361" s="172">
        <f t="shared" si="41"/>
        <v>3.7910023665964387</v>
      </c>
      <c r="J361" s="626">
        <f t="shared" si="42"/>
        <v>1</v>
      </c>
      <c r="K361" s="597"/>
      <c r="L361" s="597"/>
      <c r="M361" s="598"/>
    </row>
    <row r="362" spans="1:13" x14ac:dyDescent="0.2">
      <c r="A362" s="12">
        <v>91</v>
      </c>
      <c r="B362" s="626">
        <f t="shared" si="35"/>
        <v>3.072624523835696</v>
      </c>
      <c r="C362" s="172">
        <f t="shared" si="37"/>
        <v>7.4149609187957592</v>
      </c>
      <c r="D362" s="172">
        <f t="shared" si="38"/>
        <v>9.6529346313220579</v>
      </c>
      <c r="E362" s="626">
        <f t="shared" si="39"/>
        <v>0.39520093563833075</v>
      </c>
      <c r="F362" s="597">
        <v>591</v>
      </c>
      <c r="G362" s="626">
        <f t="shared" si="36"/>
        <v>1.2056921913784096</v>
      </c>
      <c r="H362" s="172">
        <f t="shared" si="40"/>
        <v>1.1417283309820885</v>
      </c>
      <c r="I362" s="172">
        <f t="shared" si="41"/>
        <v>3.7877937309249905</v>
      </c>
      <c r="J362" s="626">
        <f t="shared" si="42"/>
        <v>1</v>
      </c>
      <c r="K362" s="597"/>
      <c r="L362" s="597"/>
      <c r="M362" s="598"/>
    </row>
    <row r="363" spans="1:13" x14ac:dyDescent="0.2">
      <c r="A363" s="12">
        <v>92</v>
      </c>
      <c r="B363" s="626">
        <f t="shared" si="35"/>
        <v>3.0558798513602623</v>
      </c>
      <c r="C363" s="172">
        <f t="shared" si="37"/>
        <v>7.3343635175045012</v>
      </c>
      <c r="D363" s="172">
        <f t="shared" si="38"/>
        <v>9.6003296912864684</v>
      </c>
      <c r="E363" s="626">
        <f t="shared" si="39"/>
        <v>0.40385500634136878</v>
      </c>
      <c r="F363" s="597">
        <v>592</v>
      </c>
      <c r="G363" s="626">
        <f t="shared" si="36"/>
        <v>1.2046734398729864</v>
      </c>
      <c r="H363" s="172">
        <f t="shared" si="40"/>
        <v>1.1397997358284022</v>
      </c>
      <c r="I363" s="172">
        <f t="shared" si="41"/>
        <v>3.7845932286797193</v>
      </c>
      <c r="J363" s="626">
        <f t="shared" si="42"/>
        <v>1</v>
      </c>
      <c r="K363" s="597"/>
      <c r="L363" s="597"/>
      <c r="M363" s="598"/>
    </row>
    <row r="364" spans="1:13" x14ac:dyDescent="0.2">
      <c r="A364" s="12">
        <v>93</v>
      </c>
      <c r="B364" s="626">
        <f t="shared" si="35"/>
        <v>3.0394059855192719</v>
      </c>
      <c r="C364" s="172">
        <f t="shared" si="37"/>
        <v>7.2554993936603687</v>
      </c>
      <c r="D364" s="172">
        <f t="shared" si="38"/>
        <v>9.54857551538419</v>
      </c>
      <c r="E364" s="626">
        <f t="shared" si="39"/>
        <v>0.41250907704440681</v>
      </c>
      <c r="F364" s="597">
        <v>593</v>
      </c>
      <c r="G364" s="626">
        <f t="shared" si="36"/>
        <v>1.2036572663982874</v>
      </c>
      <c r="H364" s="172">
        <f t="shared" si="40"/>
        <v>1.1378776452114912</v>
      </c>
      <c r="I364" s="172">
        <f t="shared" si="41"/>
        <v>3.7814008255568323</v>
      </c>
      <c r="J364" s="626">
        <f t="shared" si="42"/>
        <v>1</v>
      </c>
      <c r="K364" s="597"/>
      <c r="L364" s="597"/>
      <c r="M364" s="598"/>
    </row>
    <row r="365" spans="1:13" x14ac:dyDescent="0.2">
      <c r="A365" s="12">
        <v>94</v>
      </c>
      <c r="B365" s="626">
        <f t="shared" si="35"/>
        <v>3.0231957046810178</v>
      </c>
      <c r="C365" s="172">
        <f t="shared" si="37"/>
        <v>7.1783132298980235</v>
      </c>
      <c r="D365" s="172">
        <f t="shared" si="38"/>
        <v>9.4976494161901037</v>
      </c>
      <c r="E365" s="626">
        <f t="shared" si="39"/>
        <v>0.42116314774744484</v>
      </c>
      <c r="F365" s="597">
        <v>594</v>
      </c>
      <c r="G365" s="626">
        <f t="shared" si="36"/>
        <v>1.2026436600994419</v>
      </c>
      <c r="H365" s="172">
        <f t="shared" si="40"/>
        <v>1.1359620262801584</v>
      </c>
      <c r="I365" s="172">
        <f t="shared" si="41"/>
        <v>3.7782164874547468</v>
      </c>
      <c r="J365" s="626">
        <f t="shared" si="42"/>
        <v>1</v>
      </c>
      <c r="K365" s="597"/>
      <c r="L365" s="597"/>
      <c r="M365" s="598"/>
    </row>
    <row r="366" spans="1:13" x14ac:dyDescent="0.2">
      <c r="A366" s="12">
        <v>95</v>
      </c>
      <c r="B366" s="626">
        <f t="shared" si="35"/>
        <v>3.0072420539815914</v>
      </c>
      <c r="C366" s="172">
        <f t="shared" si="37"/>
        <v>7.1027520380043603</v>
      </c>
      <c r="D366" s="172">
        <f t="shared" si="38"/>
        <v>9.4475295443548468</v>
      </c>
      <c r="E366" s="626">
        <f t="shared" si="39"/>
        <v>0.42981721845048287</v>
      </c>
      <c r="F366" s="597">
        <v>595</v>
      </c>
      <c r="G366" s="626">
        <f t="shared" si="36"/>
        <v>1.2016326101854582</v>
      </c>
      <c r="H366" s="172">
        <f t="shared" si="40"/>
        <v>1.1340528464040573</v>
      </c>
      <c r="I366" s="172">
        <f t="shared" si="41"/>
        <v>3.7750401804725633</v>
      </c>
      <c r="J366" s="626">
        <f t="shared" si="42"/>
        <v>1</v>
      </c>
      <c r="K366" s="597"/>
      <c r="L366" s="597"/>
      <c r="M366" s="598"/>
    </row>
    <row r="367" spans="1:13" x14ac:dyDescent="0.2">
      <c r="A367" s="12">
        <v>96</v>
      </c>
      <c r="B367" s="626">
        <f t="shared" si="35"/>
        <v>2.9915383327871718</v>
      </c>
      <c r="C367" s="172">
        <f t="shared" si="37"/>
        <v>7.0287650376084807</v>
      </c>
      <c r="D367" s="172">
        <f t="shared" si="38"/>
        <v>9.398194849216436</v>
      </c>
      <c r="E367" s="626">
        <f t="shared" si="39"/>
        <v>0.4384712891535209</v>
      </c>
      <c r="F367" s="597">
        <v>596</v>
      </c>
      <c r="G367" s="626">
        <f t="shared" si="36"/>
        <v>1.2006241059287412</v>
      </c>
      <c r="H367" s="172">
        <f t="shared" si="40"/>
        <v>1.1321500731718357</v>
      </c>
      <c r="I367" s="172">
        <f t="shared" si="41"/>
        <v>3.771871870908547</v>
      </c>
      <c r="J367" s="626">
        <f t="shared" si="42"/>
        <v>1</v>
      </c>
      <c r="K367" s="597"/>
      <c r="L367" s="597"/>
      <c r="M367" s="598"/>
    </row>
    <row r="368" spans="1:13" x14ac:dyDescent="0.2">
      <c r="A368" s="12">
        <v>97</v>
      </c>
      <c r="B368" s="626">
        <f t="shared" si="35"/>
        <v>2.9760780828690736</v>
      </c>
      <c r="C368" s="172">
        <f t="shared" si="37"/>
        <v>6.9563035423754043</v>
      </c>
      <c r="D368" s="172">
        <f t="shared" si="38"/>
        <v>9.3496250416510769</v>
      </c>
      <c r="E368" s="626">
        <f t="shared" si="39"/>
        <v>0.44712535985655893</v>
      </c>
      <c r="F368" s="597">
        <v>597</v>
      </c>
      <c r="G368" s="626">
        <f t="shared" si="36"/>
        <v>1.1996181366646146</v>
      </c>
      <c r="H368" s="172">
        <f t="shared" si="40"/>
        <v>1.1302536743893037</v>
      </c>
      <c r="I368" s="172">
        <f t="shared" si="41"/>
        <v>3.7687115252586296</v>
      </c>
      <c r="J368" s="626">
        <f t="shared" si="42"/>
        <v>1</v>
      </c>
      <c r="K368" s="597"/>
      <c r="L368" s="597"/>
      <c r="M368" s="598"/>
    </row>
    <row r="369" spans="1:13" x14ac:dyDescent="0.2">
      <c r="A369" s="12">
        <v>98</v>
      </c>
      <c r="B369" s="626">
        <f t="shared" si="35"/>
        <v>2.9608550772441569</v>
      </c>
      <c r="C369" s="172">
        <f t="shared" si="37"/>
        <v>6.8853208531674941</v>
      </c>
      <c r="D369" s="172">
        <f t="shared" si="38"/>
        <v>9.301800559014282</v>
      </c>
      <c r="E369" s="626">
        <f t="shared" si="39"/>
        <v>0.45577943055959697</v>
      </c>
      <c r="F369" s="597">
        <v>598</v>
      </c>
      <c r="G369" s="626">
        <f t="shared" si="36"/>
        <v>1.1986146917908458</v>
      </c>
      <c r="H369" s="172">
        <f t="shared" si="40"/>
        <v>1.1283636180776155</v>
      </c>
      <c r="I369" s="172">
        <f t="shared" si="41"/>
        <v>3.7655591102149151</v>
      </c>
      <c r="J369" s="626">
        <f t="shared" si="42"/>
        <v>1</v>
      </c>
      <c r="K369" s="597"/>
      <c r="L369" s="597"/>
      <c r="M369" s="598"/>
    </row>
    <row r="370" spans="1:13" x14ac:dyDescent="0.2">
      <c r="A370" s="12">
        <v>99</v>
      </c>
      <c r="B370" s="626">
        <f t="shared" si="35"/>
        <v>2.9458633096368021</v>
      </c>
      <c r="C370" s="172">
        <f t="shared" si="37"/>
        <v>6.8157721576809518</v>
      </c>
      <c r="D370" s="172">
        <f t="shared" si="38"/>
        <v>9.2547025320346918</v>
      </c>
      <c r="E370" s="626">
        <f t="shared" si="39"/>
        <v>0.464433501262635</v>
      </c>
      <c r="F370" s="597">
        <v>599</v>
      </c>
      <c r="G370" s="626">
        <f t="shared" si="36"/>
        <v>1.1976137607671793</v>
      </c>
      <c r="H370" s="172">
        <f t="shared" si="40"/>
        <v>1.1264798724714764</v>
      </c>
      <c r="I370" s="172">
        <f t="shared" si="41"/>
        <v>3.7624145926642143</v>
      </c>
      <c r="J370" s="626">
        <f t="shared" si="42"/>
        <v>1</v>
      </c>
      <c r="K370" s="597"/>
      <c r="L370" s="597"/>
      <c r="M370" s="598"/>
    </row>
    <row r="371" spans="1:13" x14ac:dyDescent="0.2">
      <c r="A371" s="12">
        <v>100</v>
      </c>
      <c r="B371" s="626">
        <f t="shared" si="35"/>
        <v>2.9310969845219468</v>
      </c>
      <c r="C371" s="172">
        <f t="shared" si="37"/>
        <v>6.7476144361041417</v>
      </c>
      <c r="D371" s="172">
        <f t="shared" si="38"/>
        <v>9.2083127535333436</v>
      </c>
      <c r="E371" s="626">
        <f t="shared" si="39"/>
        <v>0.47308757196567303</v>
      </c>
      <c r="F371" s="597">
        <v>600</v>
      </c>
      <c r="G371" s="626">
        <f t="shared" si="36"/>
        <v>1.1966153331148688</v>
      </c>
      <c r="H371" s="172">
        <f t="shared" si="40"/>
        <v>1.1246024060173572</v>
      </c>
      <c r="I371" s="172">
        <f t="shared" si="41"/>
        <v>3.7592779396865748</v>
      </c>
      <c r="J371" s="626">
        <f t="shared" si="42"/>
        <v>1</v>
      </c>
      <c r="K371" s="597"/>
      <c r="L371" s="597"/>
      <c r="M371" s="598"/>
    </row>
    <row r="372" spans="1:13" x14ac:dyDescent="0.2">
      <c r="A372" s="12">
        <v>101</v>
      </c>
      <c r="B372" s="626">
        <f t="shared" si="35"/>
        <v>2.91655050771169</v>
      </c>
      <c r="C372" s="172">
        <f t="shared" si="37"/>
        <v>6.6808063723803386</v>
      </c>
      <c r="D372" s="172">
        <f t="shared" si="38"/>
        <v>9.1626136488506269</v>
      </c>
      <c r="E372" s="626">
        <f t="shared" si="39"/>
        <v>0.48174164266871106</v>
      </c>
      <c r="F372" s="597">
        <v>601</v>
      </c>
      <c r="G372" s="626">
        <f t="shared" si="36"/>
        <v>1.1956193984162182</v>
      </c>
      <c r="H372" s="172">
        <f t="shared" si="40"/>
        <v>1.1227311873717374</v>
      </c>
      <c r="I372" s="172">
        <f t="shared" si="41"/>
        <v>3.7561491185538389</v>
      </c>
      <c r="J372" s="626">
        <f t="shared" si="42"/>
        <v>1</v>
      </c>
      <c r="K372" s="597"/>
      <c r="L372" s="597"/>
      <c r="M372" s="598"/>
    </row>
    <row r="373" spans="1:13" x14ac:dyDescent="0.2">
      <c r="A373" s="12">
        <v>102</v>
      </c>
      <c r="B373" s="626">
        <f t="shared" si="35"/>
        <v>2.9022184774507451</v>
      </c>
      <c r="C373" s="172">
        <f t="shared" si="37"/>
        <v>6.6153082706903366</v>
      </c>
      <c r="D373" s="172">
        <f t="shared" si="38"/>
        <v>9.1175882478718151</v>
      </c>
      <c r="E373" s="626">
        <f t="shared" si="39"/>
        <v>0.4903957133717492</v>
      </c>
      <c r="F373" s="597">
        <v>602</v>
      </c>
      <c r="G373" s="626">
        <f t="shared" si="36"/>
        <v>1.1946259463141249</v>
      </c>
      <c r="H373" s="172">
        <f t="shared" si="40"/>
        <v>1.1208661853993591</v>
      </c>
      <c r="I373" s="172">
        <f t="shared" si="41"/>
        <v>3.7530280967282095</v>
      </c>
      <c r="J373" s="626">
        <f t="shared" si="42"/>
        <v>1</v>
      </c>
      <c r="K373" s="597"/>
      <c r="L373" s="597"/>
      <c r="M373" s="598"/>
    </row>
    <row r="374" spans="1:13" x14ac:dyDescent="0.2">
      <c r="A374" s="12">
        <v>103</v>
      </c>
      <c r="B374" s="626">
        <f t="shared" si="35"/>
        <v>2.8880956759885463</v>
      </c>
      <c r="C374" s="172">
        <f t="shared" si="37"/>
        <v>6.5510819768001385</v>
      </c>
      <c r="D374" s="172">
        <f t="shared" si="38"/>
        <v>9.0732201585500647</v>
      </c>
      <c r="E374" s="626">
        <f t="shared" si="39"/>
        <v>0.49904978407478723</v>
      </c>
      <c r="F374" s="597">
        <v>603</v>
      </c>
      <c r="G374" s="626">
        <f t="shared" si="36"/>
        <v>1.1936349665116268</v>
      </c>
      <c r="H374" s="172">
        <f t="shared" si="40"/>
        <v>1.1190073691714997</v>
      </c>
      <c r="I374" s="172">
        <f t="shared" si="41"/>
        <v>3.7499148418608255</v>
      </c>
      <c r="J374" s="626">
        <f t="shared" si="42"/>
        <v>1</v>
      </c>
      <c r="K374" s="597"/>
      <c r="L374" s="597"/>
      <c r="M374" s="598"/>
    </row>
    <row r="375" spans="1:13" x14ac:dyDescent="0.2">
      <c r="A375" s="12">
        <v>104</v>
      </c>
      <c r="B375" s="626">
        <f t="shared" si="35"/>
        <v>2.8741770615981492</v>
      </c>
      <c r="C375" s="172">
        <f t="shared" si="37"/>
        <v>6.4880908039462906</v>
      </c>
      <c r="D375" s="172">
        <f t="shared" si="38"/>
        <v>9.0294935418330446</v>
      </c>
      <c r="E375" s="626">
        <f t="shared" si="39"/>
        <v>0.5077038547778252</v>
      </c>
      <c r="F375" s="597">
        <v>604</v>
      </c>
      <c r="G375" s="626">
        <f t="shared" si="36"/>
        <v>1.1926464487714541</v>
      </c>
      <c r="H375" s="172">
        <f t="shared" si="40"/>
        <v>1.1171547079642621</v>
      </c>
      <c r="I375" s="172">
        <f t="shared" si="41"/>
        <v>3.7468093217903555</v>
      </c>
      <c r="J375" s="626">
        <f t="shared" si="42"/>
        <v>1</v>
      </c>
      <c r="K375" s="597"/>
      <c r="L375" s="597"/>
      <c r="M375" s="598"/>
    </row>
    <row r="376" spans="1:13" x14ac:dyDescent="0.2">
      <c r="A376" s="12">
        <v>105</v>
      </c>
      <c r="B376" s="626">
        <f t="shared" si="35"/>
        <v>2.8604577610141937</v>
      </c>
      <c r="C376" s="172">
        <f t="shared" si="37"/>
        <v>6.4262994629563259</v>
      </c>
      <c r="D376" s="172">
        <f t="shared" si="38"/>
        <v>8.9863930879060998</v>
      </c>
      <c r="E376" s="626">
        <f t="shared" si="39"/>
        <v>0.51635792548086323</v>
      </c>
      <c r="F376" s="597">
        <v>605</v>
      </c>
      <c r="G376" s="626">
        <f t="shared" si="36"/>
        <v>1.1916603829155858</v>
      </c>
      <c r="H376" s="172">
        <f t="shared" si="40"/>
        <v>1.1153081712568831</v>
      </c>
      <c r="I376" s="172">
        <f t="shared" si="41"/>
        <v>3.7437115045416043</v>
      </c>
      <c r="J376" s="626">
        <f t="shared" si="42"/>
        <v>1</v>
      </c>
      <c r="K376" s="597"/>
      <c r="L376" s="597"/>
      <c r="M376" s="598"/>
    </row>
    <row r="377" spans="1:13" x14ac:dyDescent="0.2">
      <c r="A377" s="12">
        <v>106</v>
      </c>
      <c r="B377" s="626">
        <f t="shared" si="35"/>
        <v>2.8469330622641755</v>
      </c>
      <c r="C377" s="172">
        <f t="shared" si="37"/>
        <v>6.365673996324662</v>
      </c>
      <c r="D377" s="172">
        <f t="shared" si="38"/>
        <v>8.943903993671027</v>
      </c>
      <c r="E377" s="626">
        <f t="shared" si="39"/>
        <v>0.52501199618390126</v>
      </c>
      <c r="F377" s="597">
        <v>606</v>
      </c>
      <c r="G377" s="626">
        <f t="shared" si="36"/>
        <v>1.1906767588248091</v>
      </c>
      <c r="H377" s="172">
        <f t="shared" si="40"/>
        <v>1.1134677287300563</v>
      </c>
      <c r="I377" s="172">
        <f t="shared" si="41"/>
        <v>3.7406213583241259</v>
      </c>
      <c r="J377" s="626">
        <f t="shared" si="42"/>
        <v>1</v>
      </c>
      <c r="K377" s="597"/>
      <c r="L377" s="597"/>
      <c r="M377" s="598"/>
    </row>
    <row r="378" spans="1:13" x14ac:dyDescent="0.2">
      <c r="A378" s="12">
        <v>107</v>
      </c>
      <c r="B378" s="626">
        <f t="shared" si="35"/>
        <v>2.8335984078690788</v>
      </c>
      <c r="C378" s="172">
        <f t="shared" si="37"/>
        <v>6.3061817159851801</v>
      </c>
      <c r="D378" s="172">
        <f t="shared" si="38"/>
        <v>8.9020119413852328</v>
      </c>
      <c r="E378" s="626">
        <f t="shared" si="39"/>
        <v>0.53366606688693929</v>
      </c>
      <c r="F378" s="597">
        <v>607</v>
      </c>
      <c r="G378" s="626">
        <f t="shared" si="36"/>
        <v>1.1896955664382833</v>
      </c>
      <c r="H378" s="172">
        <f t="shared" si="40"/>
        <v>1.1116333502642739</v>
      </c>
      <c r="I378" s="172">
        <f t="shared" si="41"/>
        <v>3.7375388515308585</v>
      </c>
      <c r="J378" s="626">
        <f t="shared" si="42"/>
        <v>1</v>
      </c>
      <c r="K378" s="597"/>
      <c r="L378" s="597"/>
      <c r="M378" s="598"/>
    </row>
    <row r="379" spans="1:13" x14ac:dyDescent="0.2">
      <c r="A379" s="12">
        <v>108</v>
      </c>
      <c r="B379" s="626">
        <f t="shared" si="35"/>
        <v>2.8204493883910771</v>
      </c>
      <c r="C379" s="172">
        <f t="shared" si="37"/>
        <v>6.247791144540872</v>
      </c>
      <c r="D379" s="172">
        <f t="shared" si="38"/>
        <v>8.8607030783912322</v>
      </c>
      <c r="E379" s="626">
        <f t="shared" si="39"/>
        <v>0.54232013758997732</v>
      </c>
      <c r="F379" s="597">
        <v>608</v>
      </c>
      <c r="G379" s="626">
        <f t="shared" si="36"/>
        <v>1.1887167957531073</v>
      </c>
      <c r="H379" s="172">
        <f t="shared" si="40"/>
        <v>1.1098050059381814</v>
      </c>
      <c r="I379" s="172">
        <f t="shared" si="41"/>
        <v>3.7344639527367605</v>
      </c>
      <c r="J379" s="626">
        <f t="shared" si="42"/>
        <v>1</v>
      </c>
      <c r="K379" s="597"/>
      <c r="L379" s="597"/>
      <c r="M379" s="598"/>
    </row>
    <row r="380" spans="1:13" x14ac:dyDescent="0.2">
      <c r="A380" s="12">
        <v>109</v>
      </c>
      <c r="B380" s="626">
        <f t="shared" si="35"/>
        <v>2.807481736307575</v>
      </c>
      <c r="C380" s="172">
        <f t="shared" si="37"/>
        <v>6.1904719597285709</v>
      </c>
      <c r="D380" s="172">
        <f t="shared" si="38"/>
        <v>8.819963997871394</v>
      </c>
      <c r="E380" s="626">
        <f t="shared" si="39"/>
        <v>0.55097420829301536</v>
      </c>
      <c r="F380" s="597">
        <v>609</v>
      </c>
      <c r="G380" s="626">
        <f t="shared" si="36"/>
        <v>1.1877404368238917</v>
      </c>
      <c r="H380" s="172">
        <f t="shared" si="40"/>
        <v>1.1079826660269527</v>
      </c>
      <c r="I380" s="172">
        <f t="shared" si="41"/>
        <v>3.73139663069747</v>
      </c>
      <c r="J380" s="626">
        <f t="shared" si="42"/>
        <v>1</v>
      </c>
      <c r="K380" s="597"/>
      <c r="L380" s="597"/>
      <c r="M380" s="598"/>
    </row>
    <row r="381" spans="1:13" x14ac:dyDescent="0.2">
      <c r="A381" s="12">
        <v>110</v>
      </c>
      <c r="B381" s="626">
        <f t="shared" si="35"/>
        <v>2.7946913201922432</v>
      </c>
      <c r="C381" s="172">
        <f t="shared" si="37"/>
        <v>6.1341949419128561</v>
      </c>
      <c r="D381" s="172">
        <f t="shared" si="38"/>
        <v>8.7797817205671116</v>
      </c>
      <c r="E381" s="626">
        <f t="shared" si="39"/>
        <v>0.55962827899605339</v>
      </c>
      <c r="F381" s="597">
        <v>610</v>
      </c>
      <c r="G381" s="626">
        <f t="shared" si="36"/>
        <v>1.1867664797623345</v>
      </c>
      <c r="H381" s="172">
        <f t="shared" si="40"/>
        <v>1.106166301000679</v>
      </c>
      <c r="I381" s="172">
        <f t="shared" si="41"/>
        <v>3.7283368543479698</v>
      </c>
      <c r="J381" s="626">
        <f t="shared" si="42"/>
        <v>1</v>
      </c>
      <c r="K381" s="597"/>
      <c r="L381" s="597"/>
      <c r="M381" s="598"/>
    </row>
    <row r="382" spans="1:13" x14ac:dyDescent="0.2">
      <c r="A382" s="12">
        <v>111</v>
      </c>
      <c r="B382" s="626">
        <f t="shared" si="35"/>
        <v>2.7820741391850445</v>
      </c>
      <c r="C382" s="172">
        <f t="shared" si="37"/>
        <v>6.0789319244181454</v>
      </c>
      <c r="D382" s="172">
        <f t="shared" si="38"/>
        <v>8.740143677405884</v>
      </c>
      <c r="E382" s="626">
        <f t="shared" si="39"/>
        <v>0.56828234969909142</v>
      </c>
      <c r="F382" s="597">
        <v>611</v>
      </c>
      <c r="G382" s="626">
        <f t="shared" si="36"/>
        <v>1.1857949147367999</v>
      </c>
      <c r="H382" s="172">
        <f t="shared" si="40"/>
        <v>1.1043558815227728</v>
      </c>
      <c r="I382" s="172">
        <f t="shared" si="41"/>
        <v>3.7252845928012657</v>
      </c>
      <c r="J382" s="626">
        <f t="shared" si="42"/>
        <v>1</v>
      </c>
      <c r="K382" s="597"/>
      <c r="L382" s="597"/>
      <c r="M382" s="598"/>
    </row>
    <row r="383" spans="1:13" x14ac:dyDescent="0.2">
      <c r="A383" s="12">
        <v>112</v>
      </c>
      <c r="B383" s="626">
        <f t="shared" si="35"/>
        <v>2.7696263177344318</v>
      </c>
      <c r="C383" s="172">
        <f t="shared" si="37"/>
        <v>6.0246557465215558</v>
      </c>
      <c r="D383" s="172">
        <f t="shared" si="38"/>
        <v>8.7010376929834408</v>
      </c>
      <c r="E383" s="626">
        <f t="shared" si="39"/>
        <v>0.57693642040212945</v>
      </c>
      <c r="F383" s="597">
        <v>612</v>
      </c>
      <c r="G383" s="626">
        <f t="shared" si="36"/>
        <v>1.184825731971902</v>
      </c>
      <c r="H383" s="172">
        <f t="shared" si="40"/>
        <v>1.1025513784483894</v>
      </c>
      <c r="I383" s="172">
        <f t="shared" si="41"/>
        <v>3.7222398153470766</v>
      </c>
      <c r="J383" s="626">
        <f t="shared" si="42"/>
        <v>1</v>
      </c>
      <c r="K383" s="597"/>
      <c r="L383" s="597"/>
      <c r="M383" s="598"/>
    </row>
    <row r="384" spans="1:13" x14ac:dyDescent="0.2">
      <c r="A384" s="12">
        <v>113</v>
      </c>
      <c r="B384" s="626">
        <f t="shared" si="35"/>
        <v>2.7573441005960291</v>
      </c>
      <c r="C384" s="172">
        <f t="shared" si="37"/>
        <v>5.9713402089417178</v>
      </c>
      <c r="D384" s="172">
        <f t="shared" si="38"/>
        <v>8.6624519698516398</v>
      </c>
      <c r="E384" s="626">
        <f t="shared" si="39"/>
        <v>0.5855904911051677</v>
      </c>
      <c r="F384" s="597">
        <v>613</v>
      </c>
      <c r="G384" s="626">
        <f t="shared" si="36"/>
        <v>1.1838589217480913</v>
      </c>
      <c r="H384" s="172">
        <f t="shared" si="40"/>
        <v>1.1007527628228619</v>
      </c>
      <c r="I384" s="172">
        <f t="shared" si="41"/>
        <v>3.7192024914505373</v>
      </c>
      <c r="J384" s="626">
        <f t="shared" si="42"/>
        <v>1</v>
      </c>
      <c r="K384" s="597"/>
      <c r="L384" s="597"/>
      <c r="M384" s="598"/>
    </row>
    <row r="385" spans="1:13" x14ac:dyDescent="0.2">
      <c r="A385" s="12">
        <v>114</v>
      </c>
      <c r="B385" s="626">
        <f t="shared" si="35"/>
        <v>2.7452238480731435</v>
      </c>
      <c r="C385" s="172">
        <f t="shared" si="37"/>
        <v>5.9189600316702995</v>
      </c>
      <c r="D385" s="172">
        <f t="shared" si="38"/>
        <v>8.6243750735660907</v>
      </c>
      <c r="E385" s="626">
        <f t="shared" si="39"/>
        <v>0.59424456180820573</v>
      </c>
      <c r="F385" s="597">
        <v>614</v>
      </c>
      <c r="G385" s="626">
        <f t="shared" si="36"/>
        <v>1.1828944744012453</v>
      </c>
      <c r="H385" s="172">
        <f t="shared" si="40"/>
        <v>1.0989600058801534</v>
      </c>
      <c r="I385" s="172">
        <f t="shared" si="41"/>
        <v>3.716172590750912</v>
      </c>
      <c r="J385" s="626">
        <f t="shared" si="42"/>
        <v>1</v>
      </c>
      <c r="K385" s="597"/>
      <c r="L385" s="597"/>
      <c r="M385" s="598"/>
    </row>
    <row r="386" spans="1:13" x14ac:dyDescent="0.2">
      <c r="A386" s="12">
        <v>115</v>
      </c>
      <c r="B386" s="626">
        <f t="shared" si="35"/>
        <v>2.7332620314853999</v>
      </c>
      <c r="C386" s="172">
        <f t="shared" si="37"/>
        <v>5.8674908140036015</v>
      </c>
      <c r="D386" s="172">
        <f t="shared" si="38"/>
        <v>8.5867959184504468</v>
      </c>
      <c r="E386" s="626">
        <f t="shared" si="39"/>
        <v>0.60289863251124376</v>
      </c>
      <c r="F386" s="597">
        <v>615</v>
      </c>
      <c r="G386" s="626">
        <f t="shared" si="36"/>
        <v>1.1819323803222637</v>
      </c>
      <c r="H386" s="172">
        <f t="shared" si="40"/>
        <v>1.0971730790413241</v>
      </c>
      <c r="I386" s="172">
        <f t="shared" si="41"/>
        <v>3.713150083060321</v>
      </c>
      <c r="J386" s="626">
        <f t="shared" si="42"/>
        <v>1</v>
      </c>
      <c r="K386" s="597"/>
      <c r="L386" s="597"/>
      <c r="M386" s="598"/>
    </row>
    <row r="387" spans="1:13" x14ac:dyDescent="0.2">
      <c r="A387" s="12">
        <v>116</v>
      </c>
      <c r="B387" s="626">
        <f t="shared" si="35"/>
        <v>2.7214552288526992</v>
      </c>
      <c r="C387" s="172">
        <f t="shared" si="37"/>
        <v>5.8169089966415015</v>
      </c>
      <c r="D387" s="172">
        <f t="shared" si="38"/>
        <v>8.5497037540371696</v>
      </c>
      <c r="E387" s="626">
        <f t="shared" si="39"/>
        <v>0.61155270321428157</v>
      </c>
      <c r="F387" s="597">
        <v>616</v>
      </c>
      <c r="G387" s="626">
        <f t="shared" si="36"/>
        <v>1.1809726299566647</v>
      </c>
      <c r="H387" s="172">
        <f t="shared" si="40"/>
        <v>1.0953919539130101</v>
      </c>
      <c r="I387" s="172">
        <f t="shared" si="41"/>
        <v>3.7101349383624753</v>
      </c>
      <c r="J387" s="626">
        <f t="shared" si="42"/>
        <v>1</v>
      </c>
      <c r="K387" s="597"/>
      <c r="L387" s="597"/>
      <c r="M387" s="598"/>
    </row>
    <row r="388" spans="1:13" x14ac:dyDescent="0.2">
      <c r="A388" s="12">
        <v>117</v>
      </c>
      <c r="B388" s="626">
        <f t="shared" si="35"/>
        <v>2.7098001207825022</v>
      </c>
      <c r="C388" s="172">
        <f t="shared" si="37"/>
        <v>5.7671918257300367</v>
      </c>
      <c r="D388" s="172">
        <f t="shared" si="38"/>
        <v>8.5130881521470432</v>
      </c>
      <c r="E388" s="626">
        <f t="shared" si="39"/>
        <v>0.6202067739173196</v>
      </c>
      <c r="F388" s="597">
        <v>617</v>
      </c>
      <c r="G388" s="626">
        <f t="shared" si="36"/>
        <v>1.1800152138041879</v>
      </c>
      <c r="H388" s="172">
        <f t="shared" si="40"/>
        <v>1.0936166022859224</v>
      </c>
      <c r="I388" s="172">
        <f t="shared" si="41"/>
        <v>3.7071271268114261</v>
      </c>
      <c r="J388" s="626">
        <f t="shared" si="42"/>
        <v>1</v>
      </c>
      <c r="K388" s="597"/>
      <c r="L388" s="597"/>
      <c r="M388" s="598"/>
    </row>
    <row r="389" spans="1:13" x14ac:dyDescent="0.2">
      <c r="A389" s="12">
        <v>118</v>
      </c>
      <c r="B389" s="626">
        <f t="shared" si="35"/>
        <v>2.6982934865492192</v>
      </c>
      <c r="C389" s="172">
        <f t="shared" si="37"/>
        <v>5.718317318732324</v>
      </c>
      <c r="D389" s="172">
        <f t="shared" si="38"/>
        <v>8.4769389945722171</v>
      </c>
      <c r="E389" s="626">
        <f t="shared" si="39"/>
        <v>0.62886084462035785</v>
      </c>
      <c r="F389" s="597">
        <v>618</v>
      </c>
      <c r="G389" s="626">
        <f t="shared" si="36"/>
        <v>1.1790601224183987</v>
      </c>
      <c r="H389" s="172">
        <f t="shared" si="40"/>
        <v>1.0918469961333563</v>
      </c>
      <c r="I389" s="172">
        <f t="shared" si="41"/>
        <v>3.7041266187303235</v>
      </c>
      <c r="J389" s="626">
        <f t="shared" si="42"/>
        <v>1</v>
      </c>
      <c r="K389" s="597"/>
      <c r="L389" s="597"/>
      <c r="M389" s="598"/>
    </row>
    <row r="390" spans="1:13" x14ac:dyDescent="0.2">
      <c r="A390" s="12">
        <v>119</v>
      </c>
      <c r="B390" s="626">
        <f t="shared" si="35"/>
        <v>2.6869322003551912</v>
      </c>
      <c r="C390" s="172">
        <f t="shared" si="37"/>
        <v>5.6702642320202887</v>
      </c>
      <c r="D390" s="172">
        <f t="shared" si="38"/>
        <v>8.441246461329726</v>
      </c>
      <c r="E390" s="626">
        <f t="shared" si="39"/>
        <v>0.63751491532339588</v>
      </c>
      <c r="F390" s="597">
        <v>619</v>
      </c>
      <c r="G390" s="626">
        <f t="shared" si="36"/>
        <v>1.1781073464062968</v>
      </c>
      <c r="H390" s="172">
        <f t="shared" si="40"/>
        <v>1.0900831076097159</v>
      </c>
      <c r="I390" s="172">
        <f t="shared" si="41"/>
        <v>3.7011333846101877</v>
      </c>
      <c r="J390" s="626">
        <f t="shared" si="42"/>
        <v>1</v>
      </c>
      <c r="K390" s="597"/>
      <c r="L390" s="597"/>
      <c r="M390" s="598"/>
    </row>
    <row r="391" spans="1:13" x14ac:dyDescent="0.2">
      <c r="A391" s="12">
        <v>120</v>
      </c>
      <c r="B391" s="626">
        <f t="shared" si="35"/>
        <v>2.6757132277634015</v>
      </c>
      <c r="C391" s="172">
        <f t="shared" si="37"/>
        <v>5.6230120300867847</v>
      </c>
      <c r="D391" s="172">
        <f t="shared" si="38"/>
        <v>8.4060010194545356</v>
      </c>
      <c r="E391" s="626">
        <f t="shared" si="39"/>
        <v>0.64616898602643391</v>
      </c>
      <c r="F391" s="597">
        <v>620</v>
      </c>
      <c r="G391" s="626">
        <f t="shared" si="36"/>
        <v>1.1771568764279281</v>
      </c>
      <c r="H391" s="172">
        <f t="shared" si="40"/>
        <v>1.0883249090490552</v>
      </c>
      <c r="I391" s="172">
        <f t="shared" si="41"/>
        <v>3.6981473951086867</v>
      </c>
      <c r="J391" s="626">
        <f t="shared" si="42"/>
        <v>1</v>
      </c>
      <c r="K391" s="597"/>
      <c r="L391" s="597"/>
      <c r="M391" s="598"/>
    </row>
    <row r="392" spans="1:13" x14ac:dyDescent="0.2">
      <c r="A392" s="12">
        <v>121</v>
      </c>
      <c r="B392" s="626">
        <f t="shared" si="35"/>
        <v>2.664633622292679</v>
      </c>
      <c r="C392" s="172">
        <f t="shared" si="37"/>
        <v>5.5765408562844154</v>
      </c>
      <c r="D392" s="172">
        <f t="shared" si="38"/>
        <v>8.3711934123030396</v>
      </c>
      <c r="E392" s="626">
        <f t="shared" si="39"/>
        <v>0.65482305672947194</v>
      </c>
      <c r="F392" s="597">
        <v>621</v>
      </c>
      <c r="G392" s="626">
        <f t="shared" si="36"/>
        <v>1.1762087031960007</v>
      </c>
      <c r="H392" s="172">
        <f t="shared" si="40"/>
        <v>1.0865723729636299</v>
      </c>
      <c r="I392" s="172">
        <f t="shared" si="41"/>
        <v>3.695168621048933</v>
      </c>
      <c r="J392" s="626">
        <f t="shared" si="42"/>
        <v>1</v>
      </c>
      <c r="K392" s="597"/>
      <c r="L392" s="597"/>
      <c r="M392" s="598"/>
    </row>
    <row r="393" spans="1:13" x14ac:dyDescent="0.2">
      <c r="A393" s="12">
        <v>122</v>
      </c>
      <c r="B393" s="626">
        <f t="shared" si="35"/>
        <v>2.6536905221667086</v>
      </c>
      <c r="C393" s="172">
        <f t="shared" si="37"/>
        <v>5.5308315050033956</v>
      </c>
      <c r="D393" s="172">
        <f t="shared" si="38"/>
        <v>8.3368146493397948</v>
      </c>
      <c r="E393" s="626">
        <f t="shared" si="39"/>
        <v>0.66347712743250997</v>
      </c>
      <c r="F393" s="597">
        <v>622</v>
      </c>
      <c r="G393" s="626">
        <f t="shared" si="36"/>
        <v>1.1752628174755033</v>
      </c>
      <c r="H393" s="172">
        <f t="shared" si="40"/>
        <v>1.0848254720424666</v>
      </c>
      <c r="I393" s="172">
        <f t="shared" si="41"/>
        <v>3.692197033418283</v>
      </c>
      <c r="J393" s="626">
        <f t="shared" si="42"/>
        <v>1</v>
      </c>
      <c r="K393" s="597"/>
      <c r="L393" s="597"/>
      <c r="M393" s="598"/>
    </row>
    <row r="394" spans="1:13" x14ac:dyDescent="0.2">
      <c r="A394" s="12">
        <v>123</v>
      </c>
      <c r="B394" s="626">
        <f t="shared" si="35"/>
        <v>2.6428811472087164</v>
      </c>
      <c r="C394" s="172">
        <f t="shared" si="37"/>
        <v>5.4858653952066208</v>
      </c>
      <c r="D394" s="172">
        <f t="shared" si="38"/>
        <v>8.3028559963818687</v>
      </c>
      <c r="E394" s="626">
        <f t="shared" si="39"/>
        <v>0.672131198135548</v>
      </c>
      <c r="F394" s="597">
        <v>623</v>
      </c>
      <c r="G394" s="626">
        <f t="shared" si="36"/>
        <v>1.1743192100833275</v>
      </c>
      <c r="H394" s="172">
        <f t="shared" si="40"/>
        <v>1.0830841791499426</v>
      </c>
      <c r="I394" s="172">
        <f t="shared" si="41"/>
        <v>3.6892326033671505</v>
      </c>
      <c r="J394" s="626">
        <f t="shared" si="42"/>
        <v>1</v>
      </c>
      <c r="K394" s="597"/>
      <c r="L394" s="597"/>
      <c r="M394" s="598"/>
    </row>
    <row r="395" spans="1:13" x14ac:dyDescent="0.2">
      <c r="A395" s="12">
        <v>124</v>
      </c>
      <c r="B395" s="626">
        <f t="shared" si="35"/>
        <v>2.6322027958741669</v>
      </c>
      <c r="C395" s="172">
        <f t="shared" si="37"/>
        <v>5.4416245452452756</v>
      </c>
      <c r="D395" s="172">
        <f t="shared" si="38"/>
        <v>8.269308966276796</v>
      </c>
      <c r="E395" s="626">
        <f t="shared" si="39"/>
        <v>0.68078526883858603</v>
      </c>
      <c r="F395" s="597">
        <v>624</v>
      </c>
      <c r="G395" s="626">
        <f t="shared" si="36"/>
        <v>1.1733778718878936</v>
      </c>
      <c r="H395" s="172">
        <f t="shared" si="40"/>
        <v>1.0813484673243818</v>
      </c>
      <c r="I395" s="172">
        <f t="shared" si="41"/>
        <v>3.6862753022078318</v>
      </c>
      <c r="J395" s="626">
        <f t="shared" si="42"/>
        <v>1</v>
      </c>
      <c r="K395" s="597"/>
      <c r="L395" s="597"/>
      <c r="M395" s="598"/>
    </row>
    <row r="396" spans="1:13" x14ac:dyDescent="0.2">
      <c r="A396" s="12">
        <v>125</v>
      </c>
      <c r="B396" s="626">
        <f t="shared" si="35"/>
        <v>2.6216528424142891</v>
      </c>
      <c r="C396" s="172">
        <f t="shared" si="37"/>
        <v>5.3980915488833148</v>
      </c>
      <c r="D396" s="172">
        <f t="shared" si="38"/>
        <v>8.2361653099915308</v>
      </c>
      <c r="E396" s="626">
        <f t="shared" si="39"/>
        <v>0.68943933954162406</v>
      </c>
      <c r="F396" s="597">
        <v>625</v>
      </c>
      <c r="G396" s="626">
        <f t="shared" si="36"/>
        <v>1.1724387938087788</v>
      </c>
      <c r="H396" s="172">
        <f t="shared" si="40"/>
        <v>1.079618309776663</v>
      </c>
      <c r="I396" s="172">
        <f t="shared" si="41"/>
        <v>3.6833251014133377</v>
      </c>
      <c r="J396" s="626">
        <f t="shared" si="42"/>
        <v>1</v>
      </c>
      <c r="K396" s="597"/>
      <c r="L396" s="597"/>
      <c r="M396" s="598"/>
    </row>
    <row r="397" spans="1:13" x14ac:dyDescent="0.2">
      <c r="A397" s="12">
        <v>126</v>
      </c>
      <c r="B397" s="626">
        <f t="shared" si="35"/>
        <v>2.6112287341636589</v>
      </c>
      <c r="C397" s="172">
        <f t="shared" si="37"/>
        <v>5.3552495524636052</v>
      </c>
      <c r="D397" s="172">
        <f t="shared" si="38"/>
        <v>8.203417008091126</v>
      </c>
      <c r="E397" s="626">
        <f t="shared" si="39"/>
        <v>0.69809341024466209</v>
      </c>
      <c r="F397" s="597">
        <v>626</v>
      </c>
      <c r="G397" s="626">
        <f t="shared" si="36"/>
        <v>1.17150196681635</v>
      </c>
      <c r="H397" s="172">
        <f t="shared" si="40"/>
        <v>1.0778936798888403</v>
      </c>
      <c r="I397" s="172">
        <f t="shared" si="41"/>
        <v>3.6803819726162388</v>
      </c>
      <c r="J397" s="626">
        <f t="shared" si="42"/>
        <v>1</v>
      </c>
      <c r="K397" s="597"/>
      <c r="L397" s="597"/>
      <c r="M397" s="598"/>
    </row>
    <row r="398" spans="1:13" x14ac:dyDescent="0.2">
      <c r="A398" s="12">
        <v>127</v>
      </c>
      <c r="B398" s="626">
        <f t="shared" si="35"/>
        <v>2.6009279889454917</v>
      </c>
      <c r="C398" s="172">
        <f t="shared" si="37"/>
        <v>5.3130822331528682</v>
      </c>
      <c r="D398" s="172">
        <f t="shared" si="38"/>
        <v>8.1710562625872321</v>
      </c>
      <c r="E398" s="626">
        <f t="shared" si="39"/>
        <v>0.70674748094770012</v>
      </c>
      <c r="F398" s="597">
        <v>627</v>
      </c>
      <c r="G398" s="626">
        <f t="shared" si="36"/>
        <v>1.1705673819313993</v>
      </c>
      <c r="H398" s="172">
        <f t="shared" si="40"/>
        <v>1.0761745512127818</v>
      </c>
      <c r="I398" s="172">
        <f t="shared" si="41"/>
        <v>3.6774458876075218</v>
      </c>
      <c r="J398" s="626">
        <f t="shared" si="42"/>
        <v>1</v>
      </c>
      <c r="K398" s="597"/>
      <c r="L398" s="597"/>
      <c r="M398" s="598"/>
    </row>
    <row r="399" spans="1:13" x14ac:dyDescent="0.2">
      <c r="A399" s="12">
        <v>128</v>
      </c>
      <c r="B399" s="626">
        <f t="shared" si="35"/>
        <v>2.5907481925886371</v>
      </c>
      <c r="C399" s="172">
        <f t="shared" si="37"/>
        <v>5.2715737782063616</v>
      </c>
      <c r="D399" s="172">
        <f t="shared" si="38"/>
        <v>8.1390754891374968</v>
      </c>
      <c r="E399" s="626">
        <f t="shared" si="39"/>
        <v>0.71540155165073815</v>
      </c>
      <c r="F399" s="597">
        <v>628</v>
      </c>
      <c r="G399" s="626">
        <f t="shared" si="36"/>
        <v>1.1696350302247813</v>
      </c>
      <c r="H399" s="172">
        <f t="shared" si="40"/>
        <v>1.0744608974688123</v>
      </c>
      <c r="I399" s="172">
        <f t="shared" si="41"/>
        <v>3.6745168183354489</v>
      </c>
      <c r="J399" s="626">
        <f t="shared" si="42"/>
        <v>1</v>
      </c>
      <c r="K399" s="597"/>
      <c r="L399" s="597"/>
      <c r="M399" s="598"/>
    </row>
    <row r="400" spans="1:13" x14ac:dyDescent="0.2">
      <c r="A400" s="12">
        <v>129</v>
      </c>
      <c r="B400" s="626">
        <f t="shared" ref="B400:B463" si="43">SQRT(PI()*$I$266*$I$264/SQRT(3)/A400)</f>
        <v>2.5806869965506509</v>
      </c>
      <c r="C400" s="172">
        <f t="shared" si="37"/>
        <v>5.2307088651970082</v>
      </c>
      <c r="D400" s="172">
        <f t="shared" si="38"/>
        <v>8.107467309578233</v>
      </c>
      <c r="E400" s="626">
        <f t="shared" si="39"/>
        <v>0.72405562235377618</v>
      </c>
      <c r="F400" s="597">
        <v>629</v>
      </c>
      <c r="G400" s="626">
        <f t="shared" ref="G400:G463" si="44">SQRT(PI()*$I$266*$I$264/SQRT(3)/F400)</f>
        <v>1.1687049028170562</v>
      </c>
      <c r="H400" s="172">
        <f t="shared" si="40"/>
        <v>1.0727526925443787</v>
      </c>
      <c r="I400" s="172">
        <f t="shared" si="41"/>
        <v>3.6715947369044368</v>
      </c>
      <c r="J400" s="626">
        <f t="shared" si="42"/>
        <v>1</v>
      </c>
      <c r="K400" s="597"/>
      <c r="L400" s="597"/>
      <c r="M400" s="598"/>
    </row>
    <row r="401" spans="1:13" x14ac:dyDescent="0.2">
      <c r="A401" s="12">
        <v>130</v>
      </c>
      <c r="B401" s="626">
        <f t="shared" si="43"/>
        <v>2.5707421156416248</v>
      </c>
      <c r="C401" s="172">
        <f t="shared" ref="C401:C464" si="45">PI()*B401^2/4</f>
        <v>5.1904726431570323</v>
      </c>
      <c r="D401" s="172">
        <f t="shared" ref="D401:D464" si="46">PI()*B401</f>
        <v>8.076224544773611</v>
      </c>
      <c r="E401" s="626">
        <f t="shared" ref="E401:E464" si="47">IF(A401&lt;=$C$265,(D401*$I$265/PI()^2/C401)*SQRT(A401/$B$265),IF(A401&lt;$B$265,($C$270-$B$270)/($C$265-$B$265)*A401+($C$265*$B$270-$B$265*$C$270)/($C$265-$B$265),IF(A401=$B$265,0.45*SQRT(D401/$I$265),IF(A401&lt;$D$265,($B$270-$D$270)/($B$265-$D$265)*A401+($B$265*$D$270-$D$265*$B$270)/($B$265-$D$265),1))))</f>
        <v>0.73270969305681422</v>
      </c>
      <c r="F401" s="597">
        <v>630</v>
      </c>
      <c r="G401" s="626">
        <f t="shared" si="44"/>
        <v>1.1677769908781337</v>
      </c>
      <c r="H401" s="172">
        <f t="shared" si="40"/>
        <v>1.0710499104927209</v>
      </c>
      <c r="I401" s="172">
        <f t="shared" si="41"/>
        <v>3.6686796155739398</v>
      </c>
      <c r="J401" s="626">
        <f t="shared" si="42"/>
        <v>1</v>
      </c>
      <c r="K401" s="597"/>
      <c r="L401" s="597"/>
      <c r="M401" s="598"/>
    </row>
    <row r="402" spans="1:13" x14ac:dyDescent="0.2">
      <c r="A402" s="12">
        <v>131</v>
      </c>
      <c r="B402" s="626">
        <f t="shared" si="43"/>
        <v>2.5609113258437604</v>
      </c>
      <c r="C402" s="172">
        <f t="shared" si="45"/>
        <v>5.1508507145833144</v>
      </c>
      <c r="D402" s="172">
        <f t="shared" si="46"/>
        <v>8.0453402077656548</v>
      </c>
      <c r="E402" s="626">
        <f t="shared" si="47"/>
        <v>0.74136376375985225</v>
      </c>
      <c r="F402" s="597">
        <v>631</v>
      </c>
      <c r="G402" s="626">
        <f t="shared" si="44"/>
        <v>1.1668512856269215</v>
      </c>
      <c r="H402" s="172">
        <f t="shared" si="40"/>
        <v>1.0693525255315597</v>
      </c>
      <c r="I402" s="172">
        <f t="shared" si="41"/>
        <v>3.6657714267573422</v>
      </c>
      <c r="J402" s="626">
        <f t="shared" si="42"/>
        <v>1</v>
      </c>
      <c r="K402" s="597"/>
      <c r="L402" s="597"/>
      <c r="M402" s="598"/>
    </row>
    <row r="403" spans="1:13" x14ac:dyDescent="0.2">
      <c r="A403" s="12">
        <v>132</v>
      </c>
      <c r="B403" s="626">
        <f t="shared" si="43"/>
        <v>2.5511924622219744</v>
      </c>
      <c r="C403" s="172">
        <f t="shared" si="45"/>
        <v>5.1118291182607143</v>
      </c>
      <c r="D403" s="172">
        <f t="shared" si="46"/>
        <v>8.0148074972102101</v>
      </c>
      <c r="E403" s="626">
        <f t="shared" si="47"/>
        <v>0.75001783446289028</v>
      </c>
      <c r="F403" s="597">
        <v>632</v>
      </c>
      <c r="G403" s="626">
        <f t="shared" si="44"/>
        <v>1.1659277783309761</v>
      </c>
      <c r="H403" s="172">
        <f t="shared" si="40"/>
        <v>1.067660512041795</v>
      </c>
      <c r="I403" s="172">
        <f t="shared" si="41"/>
        <v>3.662870143020863</v>
      </c>
      <c r="J403" s="626">
        <f t="shared" si="42"/>
        <v>1</v>
      </c>
      <c r="K403" s="597"/>
      <c r="L403" s="597"/>
      <c r="M403" s="598"/>
    </row>
    <row r="404" spans="1:13" x14ac:dyDescent="0.2">
      <c r="A404" s="12">
        <v>133</v>
      </c>
      <c r="B404" s="626">
        <f t="shared" si="43"/>
        <v>2.5415834169210654</v>
      </c>
      <c r="C404" s="172">
        <f t="shared" si="45"/>
        <v>5.0733943128602572</v>
      </c>
      <c r="D404" s="172">
        <f t="shared" si="46"/>
        <v>7.9846197910848629</v>
      </c>
      <c r="E404" s="626">
        <f t="shared" si="47"/>
        <v>0.75867190516592831</v>
      </c>
      <c r="F404" s="597">
        <v>633</v>
      </c>
      <c r="G404" s="626">
        <f t="shared" si="44"/>
        <v>1.1650064603061561</v>
      </c>
      <c r="H404" s="172">
        <f t="shared" si="40"/>
        <v>1.0659738445662155</v>
      </c>
      <c r="I404" s="172">
        <f t="shared" si="41"/>
        <v>3.659975737082469</v>
      </c>
      <c r="J404" s="626">
        <f t="shared" si="42"/>
        <v>1</v>
      </c>
      <c r="K404" s="597"/>
      <c r="L404" s="597"/>
      <c r="M404" s="598"/>
    </row>
    <row r="405" spans="1:13" x14ac:dyDescent="0.2">
      <c r="A405" s="12">
        <v>134</v>
      </c>
      <c r="B405" s="626">
        <f t="shared" si="43"/>
        <v>2.5320821372452467</v>
      </c>
      <c r="C405" s="172">
        <f t="shared" si="45"/>
        <v>5.0355331612717489</v>
      </c>
      <c r="D405" s="172">
        <f t="shared" si="46"/>
        <v>7.9547706406556093</v>
      </c>
      <c r="E405" s="626">
        <f t="shared" si="47"/>
        <v>0.76732597586896634</v>
      </c>
      <c r="F405" s="597">
        <v>634</v>
      </c>
      <c r="G405" s="626">
        <f t="shared" si="44"/>
        <v>1.1640873229162805</v>
      </c>
      <c r="H405" s="172">
        <f t="shared" si="40"/>
        <v>1.0642924978082242</v>
      </c>
      <c r="I405" s="172">
        <f t="shared" si="41"/>
        <v>3.6570881818107961</v>
      </c>
      <c r="J405" s="626">
        <f t="shared" si="42"/>
        <v>1</v>
      </c>
      <c r="K405" s="597"/>
      <c r="L405" s="597"/>
      <c r="M405" s="598"/>
    </row>
    <row r="406" spans="1:13" x14ac:dyDescent="0.2">
      <c r="A406" s="12">
        <v>135</v>
      </c>
      <c r="B406" s="626">
        <f t="shared" si="43"/>
        <v>2.5226866238160621</v>
      </c>
      <c r="C406" s="172">
        <f t="shared" si="45"/>
        <v>4.9982329156326992</v>
      </c>
      <c r="D406" s="172">
        <f t="shared" si="46"/>
        <v>7.9252537646897787</v>
      </c>
      <c r="E406" s="626">
        <f t="shared" si="47"/>
        <v>0.77598004657200437</v>
      </c>
      <c r="F406" s="597">
        <v>635</v>
      </c>
      <c r="G406" s="626">
        <f t="shared" si="44"/>
        <v>1.1631703575727883</v>
      </c>
      <c r="H406" s="172">
        <f t="shared" si="40"/>
        <v>1.0626164466305739</v>
      </c>
      <c r="I406" s="172">
        <f t="shared" si="41"/>
        <v>3.6542074502240847</v>
      </c>
      <c r="J406" s="626">
        <f t="shared" si="42"/>
        <v>1</v>
      </c>
      <c r="K406" s="597"/>
      <c r="L406" s="597"/>
      <c r="M406" s="598"/>
    </row>
    <row r="407" spans="1:13" x14ac:dyDescent="0.2">
      <c r="A407" s="12">
        <v>136</v>
      </c>
      <c r="B407" s="626">
        <f t="shared" si="43"/>
        <v>2.51339492880494</v>
      </c>
      <c r="C407" s="172">
        <f t="shared" si="45"/>
        <v>4.9614812030177511</v>
      </c>
      <c r="D407" s="172">
        <f t="shared" si="46"/>
        <v>7.8960630439034407</v>
      </c>
      <c r="E407" s="626">
        <f t="shared" si="47"/>
        <v>0.7846341172750424</v>
      </c>
      <c r="F407" s="597">
        <v>636</v>
      </c>
      <c r="G407" s="626">
        <f t="shared" si="44"/>
        <v>1.1622555557344003</v>
      </c>
      <c r="H407" s="172">
        <f t="shared" si="40"/>
        <v>1.0609456660541106</v>
      </c>
      <c r="I407" s="172">
        <f t="shared" si="41"/>
        <v>3.6513335154891142</v>
      </c>
      <c r="J407" s="626">
        <f t="shared" si="42"/>
        <v>1</v>
      </c>
      <c r="K407" s="597"/>
      <c r="L407" s="597"/>
      <c r="M407" s="598"/>
    </row>
    <row r="408" spans="1:13" x14ac:dyDescent="0.2">
      <c r="A408" s="12">
        <v>137</v>
      </c>
      <c r="B408" s="626">
        <f t="shared" si="43"/>
        <v>2.5042051542368315</v>
      </c>
      <c r="C408" s="172">
        <f t="shared" si="45"/>
        <v>4.9252660117548475</v>
      </c>
      <c r="D408" s="172">
        <f t="shared" si="46"/>
        <v>7.8671925156321247</v>
      </c>
      <c r="E408" s="626">
        <f t="shared" si="47"/>
        <v>0.79328818797808043</v>
      </c>
      <c r="F408" s="597">
        <v>637</v>
      </c>
      <c r="G408" s="626">
        <f t="shared" si="44"/>
        <v>1.1613429089067866</v>
      </c>
      <c r="H408" s="172">
        <f t="shared" si="40"/>
        <v>1.0592801312565372</v>
      </c>
      <c r="I408" s="172">
        <f t="shared" si="41"/>
        <v>3.6484663509201609</v>
      </c>
      <c r="J408" s="626">
        <f t="shared" si="42"/>
        <v>1</v>
      </c>
      <c r="K408" s="597"/>
      <c r="L408" s="597"/>
      <c r="M408" s="598"/>
    </row>
    <row r="409" spans="1:13" x14ac:dyDescent="0.2">
      <c r="A409" s="12">
        <v>138</v>
      </c>
      <c r="B409" s="626">
        <f t="shared" si="43"/>
        <v>2.495115450361582</v>
      </c>
      <c r="C409" s="172">
        <f t="shared" si="45"/>
        <v>4.8895756783363353</v>
      </c>
      <c r="D409" s="172">
        <f t="shared" si="46"/>
        <v>7.8386363687143339</v>
      </c>
      <c r="E409" s="626">
        <f t="shared" si="47"/>
        <v>0.79834209368886455</v>
      </c>
      <c r="F409" s="597">
        <v>638</v>
      </c>
      <c r="G409" s="626">
        <f t="shared" si="44"/>
        <v>1.1604324086422344</v>
      </c>
      <c r="H409" s="172">
        <f t="shared" si="40"/>
        <v>1.0576198175711822</v>
      </c>
      <c r="I409" s="172">
        <f t="shared" si="41"/>
        <v>3.6456059299779522</v>
      </c>
      <c r="J409" s="626">
        <f t="shared" si="42"/>
        <v>1</v>
      </c>
      <c r="K409" s="597"/>
      <c r="L409" s="597"/>
      <c r="M409" s="598"/>
    </row>
    <row r="410" spans="1:13" x14ac:dyDescent="0.2">
      <c r="A410" s="12">
        <v>139</v>
      </c>
      <c r="B410" s="626">
        <f t="shared" si="43"/>
        <v>2.4861240140898606</v>
      </c>
      <c r="C410" s="172">
        <f t="shared" si="45"/>
        <v>4.8543988748950673</v>
      </c>
      <c r="D410" s="172">
        <f t="shared" si="46"/>
        <v>7.8103889385778738</v>
      </c>
      <c r="E410" s="626">
        <f t="shared" si="47"/>
        <v>0.79981407649954495</v>
      </c>
      <c r="F410" s="597">
        <v>639</v>
      </c>
      <c r="G410" s="626">
        <f t="shared" si="44"/>
        <v>1.1595240465393197</v>
      </c>
      <c r="H410" s="172">
        <f t="shared" si="40"/>
        <v>1.0559647004857813</v>
      </c>
      <c r="I410" s="172">
        <f t="shared" si="41"/>
        <v>3.642752226268636</v>
      </c>
      <c r="J410" s="626">
        <f t="shared" si="42"/>
        <v>1</v>
      </c>
      <c r="K410" s="597"/>
      <c r="L410" s="597"/>
      <c r="M410" s="598"/>
    </row>
    <row r="411" spans="1:13" x14ac:dyDescent="0.2">
      <c r="A411" s="12">
        <v>140</v>
      </c>
      <c r="B411" s="626">
        <f t="shared" si="43"/>
        <v>2.4772290874906484</v>
      </c>
      <c r="C411" s="172">
        <f t="shared" si="45"/>
        <v>4.8197245972172453</v>
      </c>
      <c r="D411" s="172">
        <f t="shared" si="46"/>
        <v>7.7824447025195678</v>
      </c>
      <c r="E411" s="626">
        <f t="shared" si="47"/>
        <v>0.80128605931022545</v>
      </c>
      <c r="F411" s="597">
        <v>640</v>
      </c>
      <c r="G411" s="626">
        <f t="shared" si="44"/>
        <v>1.1586178142425818</v>
      </c>
      <c r="H411" s="172">
        <f t="shared" si="40"/>
        <v>1.0543147556412722</v>
      </c>
      <c r="I411" s="172">
        <f t="shared" si="41"/>
        <v>3.6399052135427588</v>
      </c>
      <c r="J411" s="626">
        <f t="shared" si="42"/>
        <v>1</v>
      </c>
      <c r="K411" s="597"/>
      <c r="L411" s="597"/>
      <c r="M411" s="598"/>
    </row>
    <row r="412" spans="1:13" x14ac:dyDescent="0.2">
      <c r="A412" s="12">
        <v>141</v>
      </c>
      <c r="B412" s="626">
        <f t="shared" si="43"/>
        <v>2.4684289563474384</v>
      </c>
      <c r="C412" s="172">
        <f t="shared" si="45"/>
        <v>4.7855421532653493</v>
      </c>
      <c r="D412" s="172">
        <f t="shared" si="46"/>
        <v>7.7547982751694331</v>
      </c>
      <c r="E412" s="626">
        <f t="shared" si="47"/>
        <v>0.80275804212090585</v>
      </c>
      <c r="F412" s="597">
        <v>641</v>
      </c>
      <c r="G412" s="626">
        <f t="shared" si="44"/>
        <v>1.1577137034422003</v>
      </c>
      <c r="H412" s="172">
        <f t="shared" si="40"/>
        <v>1.0526699588305994</v>
      </c>
      <c r="I412" s="172">
        <f t="shared" si="41"/>
        <v>3.6370648656942488</v>
      </c>
      <c r="J412" s="626">
        <f t="shared" si="42"/>
        <v>1</v>
      </c>
      <c r="K412" s="597"/>
      <c r="L412" s="597"/>
      <c r="M412" s="598"/>
    </row>
    <row r="413" spans="1:13" x14ac:dyDescent="0.2">
      <c r="A413" s="12">
        <v>142</v>
      </c>
      <c r="B413" s="626">
        <f t="shared" si="43"/>
        <v>2.4597219487704569</v>
      </c>
      <c r="C413" s="172">
        <f t="shared" si="45"/>
        <v>4.7518411521860155</v>
      </c>
      <c r="D413" s="172">
        <f t="shared" si="46"/>
        <v>7.7274444041308366</v>
      </c>
      <c r="E413" s="626">
        <f t="shared" si="47"/>
        <v>0.80423002493158635</v>
      </c>
      <c r="F413" s="597">
        <v>642</v>
      </c>
      <c r="G413" s="626">
        <f t="shared" si="44"/>
        <v>1.1568117058736753</v>
      </c>
      <c r="H413" s="172">
        <f t="shared" ref="H413:H476" si="48">PI()*G413^2/4</f>
        <v>1.0510302859975298</v>
      </c>
      <c r="I413" s="172">
        <f t="shared" ref="I413:I476" si="49">PI()*G413</f>
        <v>3.634231156759415</v>
      </c>
      <c r="J413" s="626">
        <f t="shared" ref="J413:J476" si="50">IF(F413&lt;=$C$265,(I413*$I$265/PI()^2/H413)*SQRT(F413/$B$265),IF(F413&lt;$B$265,($C$270-$B$270)/($C$265-$B$265)*F413+($C$265*$B$270-$B$265*$C$270)/($C$265-$B$265),IF(F413=$B$265,0.45*SQRT(I413/$I$265),IF(F413&lt;$D$265,($B$270-$D$270)/($B$265-$D$265)*F413+($B$265*$D$270-$D$265*$B$270)/($B$265-$D$265),1))))</f>
        <v>1</v>
      </c>
      <c r="K413" s="597"/>
      <c r="L413" s="597"/>
      <c r="M413" s="598"/>
    </row>
    <row r="414" spans="1:13" x14ac:dyDescent="0.2">
      <c r="A414" s="12">
        <v>143</v>
      </c>
      <c r="B414" s="626">
        <f t="shared" si="43"/>
        <v>2.4511064338623556</v>
      </c>
      <c r="C414" s="172">
        <f t="shared" si="45"/>
        <v>4.7186114937791208</v>
      </c>
      <c r="D414" s="172">
        <f t="shared" si="46"/>
        <v>7.7003779657886522</v>
      </c>
      <c r="E414" s="626">
        <f t="shared" si="47"/>
        <v>0.80570200774226675</v>
      </c>
      <c r="F414" s="597">
        <v>643</v>
      </c>
      <c r="G414" s="626">
        <f t="shared" si="44"/>
        <v>1.1559118133175104</v>
      </c>
      <c r="H414" s="172">
        <f t="shared" si="48"/>
        <v>1.0493957132354808</v>
      </c>
      <c r="I414" s="172">
        <f t="shared" si="49"/>
        <v>3.6314040609159468</v>
      </c>
      <c r="J414" s="626">
        <f t="shared" si="50"/>
        <v>1</v>
      </c>
      <c r="K414" s="597"/>
      <c r="L414" s="597"/>
      <c r="M414" s="598"/>
    </row>
    <row r="415" spans="1:13" x14ac:dyDescent="0.2">
      <c r="A415" s="12">
        <v>144</v>
      </c>
      <c r="B415" s="626">
        <f t="shared" si="43"/>
        <v>2.4425808204349555</v>
      </c>
      <c r="C415" s="172">
        <f t="shared" si="45"/>
        <v>4.6858433584056538</v>
      </c>
      <c r="D415" s="172">
        <f t="shared" si="46"/>
        <v>7.6735939612777857</v>
      </c>
      <c r="E415" s="626">
        <f t="shared" si="47"/>
        <v>0.80717399055294714</v>
      </c>
      <c r="F415" s="597">
        <v>644</v>
      </c>
      <c r="G415" s="626">
        <f t="shared" si="44"/>
        <v>1.1550140175988972</v>
      </c>
      <c r="H415" s="172">
        <f t="shared" si="48"/>
        <v>1.0477662167863575</v>
      </c>
      <c r="I415" s="172">
        <f t="shared" si="49"/>
        <v>3.6285835524819277</v>
      </c>
      <c r="J415" s="626">
        <f t="shared" si="50"/>
        <v>1</v>
      </c>
      <c r="K415" s="597"/>
      <c r="L415" s="597"/>
      <c r="M415" s="598"/>
    </row>
    <row r="416" spans="1:13" x14ac:dyDescent="0.2">
      <c r="A416" s="12">
        <v>145</v>
      </c>
      <c r="B416" s="626">
        <f t="shared" si="43"/>
        <v>2.4341435557747531</v>
      </c>
      <c r="C416" s="172">
        <f t="shared" si="45"/>
        <v>4.6535271973132009</v>
      </c>
      <c r="D416" s="172">
        <f t="shared" si="46"/>
        <v>7.6470875126049007</v>
      </c>
      <c r="E416" s="626">
        <f t="shared" si="47"/>
        <v>0.80864597336362765</v>
      </c>
      <c r="F416" s="597">
        <v>645</v>
      </c>
      <c r="G416" s="626">
        <f t="shared" si="44"/>
        <v>1.1541183105874042</v>
      </c>
      <c r="H416" s="172">
        <f t="shared" si="48"/>
        <v>1.0461417730394018</v>
      </c>
      <c r="I416" s="172">
        <f t="shared" si="49"/>
        <v>3.6257696059148521</v>
      </c>
      <c r="J416" s="626">
        <f t="shared" si="50"/>
        <v>1</v>
      </c>
      <c r="K416" s="597"/>
      <c r="L416" s="597"/>
      <c r="M416" s="598"/>
    </row>
    <row r="417" spans="1:13" x14ac:dyDescent="0.2">
      <c r="A417" s="12">
        <v>146</v>
      </c>
      <c r="B417" s="626">
        <f t="shared" si="43"/>
        <v>2.4257931244550068</v>
      </c>
      <c r="C417" s="172">
        <f t="shared" si="45"/>
        <v>4.6216537233590014</v>
      </c>
      <c r="D417" s="172">
        <f t="shared" si="46"/>
        <v>7.6208538589164805</v>
      </c>
      <c r="E417" s="626">
        <f t="shared" si="47"/>
        <v>0.81011795617430804</v>
      </c>
      <c r="F417" s="597">
        <v>646</v>
      </c>
      <c r="G417" s="626">
        <f t="shared" si="44"/>
        <v>1.1532246841966673</v>
      </c>
      <c r="H417" s="172">
        <f t="shared" si="48"/>
        <v>1.0445223585300529</v>
      </c>
      <c r="I417" s="172">
        <f t="shared" si="49"/>
        <v>3.6229621958106595</v>
      </c>
      <c r="J417" s="626">
        <f t="shared" si="50"/>
        <v>1</v>
      </c>
      <c r="K417" s="597"/>
      <c r="L417" s="597"/>
      <c r="M417" s="598"/>
    </row>
    <row r="418" spans="1:13" x14ac:dyDescent="0.2">
      <c r="A418" s="12">
        <v>147</v>
      </c>
      <c r="B418" s="626">
        <f t="shared" si="43"/>
        <v>2.4175280471923521</v>
      </c>
      <c r="C418" s="172">
        <f t="shared" si="45"/>
        <v>4.5902139021116621</v>
      </c>
      <c r="D418" s="172">
        <f t="shared" si="46"/>
        <v>7.5948883529067723</v>
      </c>
      <c r="E418" s="626">
        <f t="shared" si="47"/>
        <v>0.81158993898498855</v>
      </c>
      <c r="F418" s="597">
        <v>647</v>
      </c>
      <c r="G418" s="626">
        <f t="shared" si="44"/>
        <v>1.1523331303840831</v>
      </c>
      <c r="H418" s="172">
        <f t="shared" si="48"/>
        <v>1.0429079499388163</v>
      </c>
      <c r="I418" s="172">
        <f t="shared" si="49"/>
        <v>3.620161296902765</v>
      </c>
      <c r="J418" s="626">
        <f t="shared" si="50"/>
        <v>1</v>
      </c>
      <c r="K418" s="597"/>
      <c r="L418" s="597"/>
      <c r="M418" s="598"/>
    </row>
    <row r="419" spans="1:13" x14ac:dyDescent="0.2">
      <c r="A419" s="12">
        <v>148</v>
      </c>
      <c r="B419" s="626">
        <f t="shared" si="43"/>
        <v>2.4093468797459727</v>
      </c>
      <c r="C419" s="172">
        <f t="shared" si="45"/>
        <v>4.5591989433136089</v>
      </c>
      <c r="D419" s="172">
        <f t="shared" si="46"/>
        <v>7.5691864573594385</v>
      </c>
      <c r="E419" s="626">
        <f t="shared" si="47"/>
        <v>0.81306192179566894</v>
      </c>
      <c r="F419" s="597">
        <v>648</v>
      </c>
      <c r="G419" s="626">
        <f t="shared" si="44"/>
        <v>1.1514436411505053</v>
      </c>
      <c r="H419" s="172">
        <f t="shared" si="48"/>
        <v>1.0412985240901456</v>
      </c>
      <c r="I419" s="172">
        <f t="shared" si="49"/>
        <v>3.6173668840611097</v>
      </c>
      <c r="J419" s="626">
        <f t="shared" si="50"/>
        <v>1</v>
      </c>
      <c r="K419" s="597"/>
      <c r="L419" s="597"/>
      <c r="M419" s="598"/>
    </row>
    <row r="420" spans="1:13" x14ac:dyDescent="0.2">
      <c r="A420" s="12">
        <v>149</v>
      </c>
      <c r="B420" s="626">
        <f t="shared" si="43"/>
        <v>2.4012482118574825</v>
      </c>
      <c r="C420" s="172">
        <f t="shared" si="45"/>
        <v>4.5286002926873428</v>
      </c>
      <c r="D420" s="172">
        <f t="shared" si="46"/>
        <v>7.5437437418170941</v>
      </c>
      <c r="E420" s="626">
        <f t="shared" si="47"/>
        <v>0.81453390460634933</v>
      </c>
      <c r="F420" s="597">
        <v>649</v>
      </c>
      <c r="G420" s="626">
        <f t="shared" si="44"/>
        <v>1.1505562085399423</v>
      </c>
      <c r="H420" s="172">
        <f t="shared" si="48"/>
        <v>1.0396940579513314</v>
      </c>
      <c r="I420" s="172">
        <f t="shared" si="49"/>
        <v>3.614578932291209</v>
      </c>
      <c r="J420" s="626">
        <f t="shared" si="50"/>
        <v>1</v>
      </c>
      <c r="K420" s="597"/>
      <c r="L420" s="597"/>
      <c r="M420" s="598"/>
    </row>
    <row r="421" spans="1:13" x14ac:dyDescent="0.2">
      <c r="A421" s="12">
        <v>150</v>
      </c>
      <c r="B421" s="626">
        <f t="shared" si="43"/>
        <v>2.3932306662297376</v>
      </c>
      <c r="C421" s="172">
        <f t="shared" si="45"/>
        <v>4.4984096240694287</v>
      </c>
      <c r="D421" s="172">
        <f t="shared" si="46"/>
        <v>7.5185558793731495</v>
      </c>
      <c r="E421" s="626">
        <f t="shared" si="47"/>
        <v>0.81600588741702984</v>
      </c>
      <c r="F421" s="597">
        <v>650</v>
      </c>
      <c r="G421" s="626">
        <f t="shared" si="44"/>
        <v>1.1496708246392597</v>
      </c>
      <c r="H421" s="172">
        <f t="shared" si="48"/>
        <v>1.0380945286314067</v>
      </c>
      <c r="I421" s="172">
        <f t="shared" si="49"/>
        <v>3.6117974167332179</v>
      </c>
      <c r="J421" s="626">
        <f t="shared" si="50"/>
        <v>1</v>
      </c>
      <c r="K421" s="597"/>
      <c r="L421" s="597"/>
      <c r="M421" s="598"/>
    </row>
    <row r="422" spans="1:13" x14ac:dyDescent="0.2">
      <c r="A422" s="12">
        <v>151</v>
      </c>
      <c r="B422" s="626">
        <f t="shared" si="43"/>
        <v>2.3852928975429082</v>
      </c>
      <c r="C422" s="172">
        <f t="shared" si="45"/>
        <v>4.4686188318570483</v>
      </c>
      <c r="D422" s="172">
        <f t="shared" si="46"/>
        <v>7.4936186435807111</v>
      </c>
      <c r="E422" s="626">
        <f t="shared" si="47"/>
        <v>0.81747787022771023</v>
      </c>
      <c r="F422" s="597">
        <v>651</v>
      </c>
      <c r="G422" s="626">
        <f t="shared" si="44"/>
        <v>1.1487874815778825</v>
      </c>
      <c r="H422" s="172">
        <f t="shared" si="48"/>
        <v>1.0364999133800525</v>
      </c>
      <c r="I422" s="172">
        <f t="shared" si="49"/>
        <v>3.6090223126609953</v>
      </c>
      <c r="J422" s="626">
        <f t="shared" si="50"/>
        <v>1</v>
      </c>
      <c r="K422" s="597"/>
      <c r="L422" s="597"/>
      <c r="M422" s="598"/>
    </row>
    <row r="423" spans="1:13" x14ac:dyDescent="0.2">
      <c r="A423" s="12">
        <v>152</v>
      </c>
      <c r="B423" s="626">
        <f t="shared" si="43"/>
        <v>2.3774335915062146</v>
      </c>
      <c r="C423" s="172">
        <f t="shared" si="45"/>
        <v>4.4392200237527257</v>
      </c>
      <c r="D423" s="172">
        <f t="shared" si="46"/>
        <v>7.4689279054735209</v>
      </c>
      <c r="E423" s="626">
        <f t="shared" si="47"/>
        <v>0.81894985303839074</v>
      </c>
      <c r="F423" s="597">
        <v>652</v>
      </c>
      <c r="G423" s="626">
        <f t="shared" si="44"/>
        <v>1.1479061715275025</v>
      </c>
      <c r="H423" s="172">
        <f t="shared" si="48"/>
        <v>1.0349101895865249</v>
      </c>
      <c r="I423" s="172">
        <f t="shared" si="49"/>
        <v>3.6062535954811867</v>
      </c>
      <c r="J423" s="626">
        <f t="shared" si="50"/>
        <v>1</v>
      </c>
      <c r="K423" s="597"/>
      <c r="L423" s="597"/>
      <c r="M423" s="598"/>
    </row>
    <row r="424" spans="1:13" x14ac:dyDescent="0.2">
      <c r="A424" s="12">
        <v>153</v>
      </c>
      <c r="B424" s="626">
        <f t="shared" si="43"/>
        <v>2.369651463943804</v>
      </c>
      <c r="C424" s="172">
        <f t="shared" si="45"/>
        <v>4.4102055137935574</v>
      </c>
      <c r="D424" s="172">
        <f t="shared" si="46"/>
        <v>7.4444796306941532</v>
      </c>
      <c r="E424" s="626">
        <f t="shared" si="47"/>
        <v>0.82042183584907113</v>
      </c>
      <c r="F424" s="597">
        <v>653</v>
      </c>
      <c r="G424" s="626">
        <f t="shared" si="44"/>
        <v>1.1470268867017859</v>
      </c>
      <c r="H424" s="172">
        <f t="shared" si="48"/>
        <v>1.0333253347785822</v>
      </c>
      <c r="I424" s="172">
        <f t="shared" si="49"/>
        <v>3.6034912407323025</v>
      </c>
      <c r="J424" s="626">
        <f t="shared" si="50"/>
        <v>1</v>
      </c>
      <c r="K424" s="597"/>
      <c r="L424" s="597"/>
      <c r="M424" s="598"/>
    </row>
    <row r="425" spans="1:13" x14ac:dyDescent="0.2">
      <c r="A425" s="12">
        <v>154</v>
      </c>
      <c r="B425" s="626">
        <f t="shared" si="43"/>
        <v>2.3619452599133295</v>
      </c>
      <c r="C425" s="172">
        <f t="shared" si="45"/>
        <v>4.3815678156520406</v>
      </c>
      <c r="D425" s="172">
        <f t="shared" si="46"/>
        <v>7.4202698767249506</v>
      </c>
      <c r="E425" s="626">
        <f t="shared" si="47"/>
        <v>0.82189381865975153</v>
      </c>
      <c r="F425" s="597">
        <v>654</v>
      </c>
      <c r="G425" s="626">
        <f t="shared" si="44"/>
        <v>1.1461496193560854</v>
      </c>
      <c r="H425" s="172">
        <f t="shared" si="48"/>
        <v>1.0317453266214285</v>
      </c>
      <c r="I425" s="172">
        <f t="shared" si="49"/>
        <v>3.6007352240838157</v>
      </c>
      <c r="J425" s="626">
        <f t="shared" si="50"/>
        <v>1</v>
      </c>
      <c r="K425" s="597"/>
      <c r="L425" s="597"/>
      <c r="M425" s="598"/>
    </row>
    <row r="426" spans="1:13" x14ac:dyDescent="0.2">
      <c r="A426" s="12">
        <v>155</v>
      </c>
      <c r="B426" s="626">
        <f t="shared" si="43"/>
        <v>2.3543137528558562</v>
      </c>
      <c r="C426" s="172">
        <f t="shared" si="45"/>
        <v>4.3532996361962208</v>
      </c>
      <c r="D426" s="172">
        <f t="shared" si="46"/>
        <v>7.3962947902173735</v>
      </c>
      <c r="E426" s="626">
        <f t="shared" si="47"/>
        <v>0.82336580147043192</v>
      </c>
      <c r="F426" s="597">
        <v>655</v>
      </c>
      <c r="G426" s="626">
        <f t="shared" si="44"/>
        <v>1.1452743617871524</v>
      </c>
      <c r="H426" s="172">
        <f t="shared" si="48"/>
        <v>1.0301701429166628</v>
      </c>
      <c r="I426" s="172">
        <f t="shared" si="49"/>
        <v>3.5979855213352567</v>
      </c>
      <c r="J426" s="626">
        <f t="shared" si="50"/>
        <v>1</v>
      </c>
      <c r="K426" s="597"/>
      <c r="L426" s="597"/>
      <c r="M426" s="598"/>
    </row>
    <row r="427" spans="1:13" x14ac:dyDescent="0.2">
      <c r="A427" s="12">
        <v>156</v>
      </c>
      <c r="B427" s="626">
        <f t="shared" si="43"/>
        <v>2.3467557437757871</v>
      </c>
      <c r="C427" s="172">
        <f t="shared" si="45"/>
        <v>4.3253938692975273</v>
      </c>
      <c r="D427" s="172">
        <f t="shared" si="46"/>
        <v>7.3725506044156637</v>
      </c>
      <c r="E427" s="626">
        <f t="shared" si="47"/>
        <v>0.82483778428111243</v>
      </c>
      <c r="F427" s="597">
        <v>656</v>
      </c>
      <c r="G427" s="626">
        <f t="shared" si="44"/>
        <v>1.1444011063328545</v>
      </c>
      <c r="H427" s="172">
        <f t="shared" si="48"/>
        <v>1.0285997616012412</v>
      </c>
      <c r="I427" s="172">
        <f t="shared" si="49"/>
        <v>3.5952421084153277</v>
      </c>
      <c r="J427" s="626">
        <f t="shared" si="50"/>
        <v>1</v>
      </c>
      <c r="K427" s="597"/>
      <c r="L427" s="597"/>
      <c r="M427" s="598"/>
    </row>
    <row r="428" spans="1:13" x14ac:dyDescent="0.2">
      <c r="A428" s="12">
        <v>157</v>
      </c>
      <c r="B428" s="626">
        <f t="shared" si="43"/>
        <v>2.3392700604495626</v>
      </c>
      <c r="C428" s="172">
        <f t="shared" si="45"/>
        <v>4.2978435898752494</v>
      </c>
      <c r="D428" s="172">
        <f t="shared" si="46"/>
        <v>7.3490336366708977</v>
      </c>
      <c r="E428" s="626">
        <f t="shared" si="47"/>
        <v>0.82630976709179282</v>
      </c>
      <c r="F428" s="597">
        <v>657</v>
      </c>
      <c r="G428" s="626">
        <f t="shared" si="44"/>
        <v>1.1435298453718921</v>
      </c>
      <c r="H428" s="172">
        <f t="shared" si="48"/>
        <v>1.0270341607464448</v>
      </c>
      <c r="I428" s="172">
        <f t="shared" si="49"/>
        <v>3.5925049613810081</v>
      </c>
      <c r="J428" s="626">
        <f t="shared" si="50"/>
        <v>1</v>
      </c>
      <c r="K428" s="597"/>
      <c r="L428" s="597"/>
      <c r="M428" s="598"/>
    </row>
    <row r="429" spans="1:13" x14ac:dyDescent="0.2">
      <c r="A429" s="12">
        <v>158</v>
      </c>
      <c r="B429" s="626">
        <f t="shared" si="43"/>
        <v>2.3318555566619521</v>
      </c>
      <c r="C429" s="172">
        <f t="shared" si="45"/>
        <v>4.2706420481671801</v>
      </c>
      <c r="D429" s="172">
        <f t="shared" si="46"/>
        <v>7.325740286041726</v>
      </c>
      <c r="E429" s="626">
        <f t="shared" si="47"/>
        <v>0.82778174990247333</v>
      </c>
      <c r="F429" s="597">
        <v>658</v>
      </c>
      <c r="G429" s="626">
        <f t="shared" si="44"/>
        <v>1.1426605713235203</v>
      </c>
      <c r="H429" s="172">
        <f t="shared" si="48"/>
        <v>1.0254733185568607</v>
      </c>
      <c r="I429" s="172">
        <f t="shared" si="49"/>
        <v>3.5897740564166871</v>
      </c>
      <c r="J429" s="626">
        <f t="shared" si="50"/>
        <v>1</v>
      </c>
      <c r="K429" s="597"/>
      <c r="L429" s="597"/>
      <c r="M429" s="598"/>
    </row>
    <row r="430" spans="1:13" x14ac:dyDescent="0.2">
      <c r="A430" s="12">
        <v>159</v>
      </c>
      <c r="B430" s="626">
        <f t="shared" si="43"/>
        <v>2.3245111114688006</v>
      </c>
      <c r="C430" s="172">
        <f t="shared" si="45"/>
        <v>4.2437826642164422</v>
      </c>
      <c r="D430" s="172">
        <f t="shared" si="46"/>
        <v>7.3026670309782284</v>
      </c>
      <c r="E430" s="626">
        <f t="shared" si="47"/>
        <v>0.82925373271315372</v>
      </c>
      <c r="F430" s="597">
        <v>659</v>
      </c>
      <c r="G430" s="626">
        <f t="shared" si="44"/>
        <v>1.1417932766472711</v>
      </c>
      <c r="H430" s="172">
        <f t="shared" si="48"/>
        <v>1.023917213369369</v>
      </c>
      <c r="I430" s="172">
        <f t="shared" si="49"/>
        <v>3.5870493698332853</v>
      </c>
      <c r="J430" s="626">
        <f t="shared" si="50"/>
        <v>1</v>
      </c>
      <c r="K430" s="597"/>
      <c r="L430" s="597"/>
      <c r="M430" s="598"/>
    </row>
    <row r="431" spans="1:13" x14ac:dyDescent="0.2">
      <c r="A431" s="12">
        <v>160</v>
      </c>
      <c r="B431" s="626">
        <f t="shared" si="43"/>
        <v>2.3172356284851636</v>
      </c>
      <c r="C431" s="172">
        <f t="shared" si="45"/>
        <v>4.2172590225650888</v>
      </c>
      <c r="D431" s="172">
        <f t="shared" si="46"/>
        <v>7.2798104270855175</v>
      </c>
      <c r="E431" s="626">
        <f t="shared" si="47"/>
        <v>0.83072571552383412</v>
      </c>
      <c r="F431" s="597">
        <v>660</v>
      </c>
      <c r="G431" s="626">
        <f t="shared" si="44"/>
        <v>1.1409279538426798</v>
      </c>
      <c r="H431" s="172">
        <f t="shared" si="48"/>
        <v>1.0223658236521427</v>
      </c>
      <c r="I431" s="172">
        <f t="shared" si="49"/>
        <v>3.5843308780673975</v>
      </c>
      <c r="J431" s="626">
        <f t="shared" si="50"/>
        <v>1</v>
      </c>
      <c r="K431" s="597"/>
      <c r="L431" s="597"/>
      <c r="M431" s="598"/>
    </row>
    <row r="432" spans="1:13" x14ac:dyDescent="0.2">
      <c r="A432" s="12">
        <v>161</v>
      </c>
      <c r="B432" s="626">
        <f t="shared" si="43"/>
        <v>2.3100280351977944</v>
      </c>
      <c r="C432" s="172">
        <f t="shared" si="45"/>
        <v>4.19106486714543</v>
      </c>
      <c r="D432" s="172">
        <f t="shared" si="46"/>
        <v>7.2571671049638553</v>
      </c>
      <c r="E432" s="626">
        <f t="shared" si="47"/>
        <v>0.83219769833451462</v>
      </c>
      <c r="F432" s="597">
        <v>661</v>
      </c>
      <c r="G432" s="626">
        <f t="shared" si="44"/>
        <v>1.1400645954490107</v>
      </c>
      <c r="H432" s="172">
        <f t="shared" si="48"/>
        <v>1.0208191280036527</v>
      </c>
      <c r="I432" s="172">
        <f t="shared" si="49"/>
        <v>3.5816185576804318</v>
      </c>
      <c r="J432" s="626">
        <f t="shared" si="50"/>
        <v>1</v>
      </c>
      <c r="K432" s="597"/>
      <c r="L432" s="597"/>
      <c r="M432" s="598"/>
    </row>
    <row r="433" spans="1:13" x14ac:dyDescent="0.2">
      <c r="A433" s="12">
        <v>162</v>
      </c>
      <c r="B433" s="626">
        <f t="shared" si="43"/>
        <v>2.3028872823010107</v>
      </c>
      <c r="C433" s="172">
        <f t="shared" si="45"/>
        <v>4.1651940963605822</v>
      </c>
      <c r="D433" s="172">
        <f t="shared" si="46"/>
        <v>7.2347337681222195</v>
      </c>
      <c r="E433" s="626">
        <f t="shared" si="47"/>
        <v>0.83366968114519502</v>
      </c>
      <c r="F433" s="597">
        <v>662</v>
      </c>
      <c r="G433" s="626">
        <f t="shared" si="44"/>
        <v>1.1392031940449885</v>
      </c>
      <c r="H433" s="172">
        <f t="shared" si="48"/>
        <v>1.0192771051516833</v>
      </c>
      <c r="I433" s="172">
        <f t="shared" si="49"/>
        <v>3.5789123853577633</v>
      </c>
      <c r="J433" s="626">
        <f t="shared" si="50"/>
        <v>1</v>
      </c>
      <c r="K433" s="597"/>
      <c r="L433" s="597"/>
      <c r="M433" s="598"/>
    </row>
    <row r="434" spans="1:13" x14ac:dyDescent="0.2">
      <c r="A434" s="12">
        <v>163</v>
      </c>
      <c r="B434" s="626">
        <f t="shared" si="43"/>
        <v>2.295812343055005</v>
      </c>
      <c r="C434" s="172">
        <f t="shared" si="45"/>
        <v>4.1396407583460997</v>
      </c>
      <c r="D434" s="172">
        <f t="shared" si="46"/>
        <v>7.2125071909623735</v>
      </c>
      <c r="E434" s="626">
        <f t="shared" si="47"/>
        <v>0.83514166395587552</v>
      </c>
      <c r="F434" s="597">
        <v>663</v>
      </c>
      <c r="G434" s="626">
        <f t="shared" si="44"/>
        <v>1.1383437422485299</v>
      </c>
      <c r="H434" s="172">
        <f t="shared" si="48"/>
        <v>1.0177397339523591</v>
      </c>
      <c r="I434" s="172">
        <f t="shared" si="49"/>
        <v>3.5762123379078945</v>
      </c>
      <c r="J434" s="626">
        <f t="shared" si="50"/>
        <v>1</v>
      </c>
      <c r="K434" s="597"/>
      <c r="L434" s="597"/>
      <c r="M434" s="598"/>
    </row>
    <row r="435" spans="1:13" x14ac:dyDescent="0.2">
      <c r="A435" s="12">
        <v>164</v>
      </c>
      <c r="B435" s="626">
        <f t="shared" si="43"/>
        <v>2.288802212665709</v>
      </c>
      <c r="C435" s="172">
        <f t="shared" si="45"/>
        <v>4.1143990464049649</v>
      </c>
      <c r="D435" s="172">
        <f t="shared" si="46"/>
        <v>7.1904842168306553</v>
      </c>
      <c r="E435" s="626">
        <f t="shared" si="47"/>
        <v>0.83661364676655592</v>
      </c>
      <c r="F435" s="597">
        <v>664</v>
      </c>
      <c r="G435" s="626">
        <f t="shared" si="44"/>
        <v>1.1374862327164781</v>
      </c>
      <c r="H435" s="172">
        <f t="shared" si="48"/>
        <v>1.0162069933891782</v>
      </c>
      <c r="I435" s="172">
        <f t="shared" si="49"/>
        <v>3.5735183922616174</v>
      </c>
      <c r="J435" s="626">
        <f t="shared" si="50"/>
        <v>1</v>
      </c>
      <c r="K435" s="597"/>
      <c r="L435" s="597"/>
      <c r="M435" s="598"/>
    </row>
    <row r="436" spans="1:13" x14ac:dyDescent="0.2">
      <c r="A436" s="12">
        <v>165</v>
      </c>
      <c r="B436" s="626">
        <f t="shared" si="43"/>
        <v>2.2818559076853595</v>
      </c>
      <c r="C436" s="172">
        <f t="shared" si="45"/>
        <v>4.0894632946085707</v>
      </c>
      <c r="D436" s="172">
        <f t="shared" si="46"/>
        <v>7.1686617561347949</v>
      </c>
      <c r="E436" s="626">
        <f t="shared" si="47"/>
        <v>0.83808562957723631</v>
      </c>
      <c r="F436" s="597">
        <v>665</v>
      </c>
      <c r="G436" s="626">
        <f t="shared" si="44"/>
        <v>1.1366306581443382</v>
      </c>
      <c r="H436" s="172">
        <f t="shared" si="48"/>
        <v>1.0146788625720513</v>
      </c>
      <c r="I436" s="172">
        <f t="shared" si="49"/>
        <v>3.5708305254711843</v>
      </c>
      <c r="J436" s="626">
        <f t="shared" si="50"/>
        <v>1</v>
      </c>
      <c r="K436" s="597"/>
      <c r="L436" s="597"/>
      <c r="M436" s="598"/>
    </row>
    <row r="437" spans="1:13" x14ac:dyDescent="0.2">
      <c r="A437" s="12">
        <v>166</v>
      </c>
      <c r="B437" s="626">
        <f t="shared" si="43"/>
        <v>2.2749724654329562</v>
      </c>
      <c r="C437" s="172">
        <f t="shared" si="45"/>
        <v>4.0648279735567128</v>
      </c>
      <c r="D437" s="172">
        <f t="shared" si="46"/>
        <v>7.1470367845232348</v>
      </c>
      <c r="E437" s="626">
        <f t="shared" si="47"/>
        <v>0.83955761238791671</v>
      </c>
      <c r="F437" s="597">
        <v>666</v>
      </c>
      <c r="G437" s="626">
        <f t="shared" si="44"/>
        <v>1.1357770112660177</v>
      </c>
      <c r="H437" s="172">
        <f t="shared" si="48"/>
        <v>1.0131553207363577</v>
      </c>
      <c r="I437" s="172">
        <f t="shared" si="49"/>
        <v>3.5681487147094928</v>
      </c>
      <c r="J437" s="626">
        <f t="shared" si="50"/>
        <v>1</v>
      </c>
      <c r="K437" s="597"/>
      <c r="L437" s="597"/>
      <c r="M437" s="598"/>
    </row>
    <row r="438" spans="1:13" x14ac:dyDescent="0.2">
      <c r="A438" s="12">
        <v>167</v>
      </c>
      <c r="B438" s="626">
        <f t="shared" si="43"/>
        <v>2.2681509434338341</v>
      </c>
      <c r="C438" s="172">
        <f t="shared" si="45"/>
        <v>4.0404876862899064</v>
      </c>
      <c r="D438" s="172">
        <f t="shared" si="46"/>
        <v>7.1256063411244916</v>
      </c>
      <c r="E438" s="626">
        <f t="shared" si="47"/>
        <v>0.84102959519859721</v>
      </c>
      <c r="F438" s="597">
        <v>667</v>
      </c>
      <c r="G438" s="626">
        <f t="shared" si="44"/>
        <v>1.1349252848535658</v>
      </c>
      <c r="H438" s="172">
        <f t="shared" si="48"/>
        <v>1.0116363472420002</v>
      </c>
      <c r="I438" s="172">
        <f t="shared" si="49"/>
        <v>3.5654729372692655</v>
      </c>
      <c r="J438" s="626">
        <f t="shared" si="50"/>
        <v>1</v>
      </c>
      <c r="K438" s="597"/>
      <c r="L438" s="597"/>
      <c r="M438" s="598"/>
    </row>
    <row r="439" spans="1:13" x14ac:dyDescent="0.2">
      <c r="A439" s="12">
        <v>168</v>
      </c>
      <c r="B439" s="626">
        <f t="shared" si="43"/>
        <v>2.2613904188776113</v>
      </c>
      <c r="C439" s="172">
        <f t="shared" si="45"/>
        <v>4.0164371643477033</v>
      </c>
      <c r="D439" s="172">
        <f t="shared" si="46"/>
        <v>7.104367526844249</v>
      </c>
      <c r="E439" s="626">
        <f t="shared" si="47"/>
        <v>0.84250157800927761</v>
      </c>
      <c r="F439" s="597">
        <v>668</v>
      </c>
      <c r="G439" s="626">
        <f t="shared" si="44"/>
        <v>1.134075471716917</v>
      </c>
      <c r="H439" s="172">
        <f t="shared" si="48"/>
        <v>1.0101219215724766</v>
      </c>
      <c r="I439" s="172">
        <f t="shared" si="49"/>
        <v>3.5628031705622458</v>
      </c>
      <c r="J439" s="626">
        <f t="shared" si="50"/>
        <v>1</v>
      </c>
      <c r="K439" s="597"/>
      <c r="L439" s="597"/>
      <c r="M439" s="598"/>
    </row>
    <row r="440" spans="1:13" x14ac:dyDescent="0.2">
      <c r="A440" s="12">
        <v>169</v>
      </c>
      <c r="B440" s="626">
        <f t="shared" si="43"/>
        <v>2.2546899880938054</v>
      </c>
      <c r="C440" s="172">
        <f t="shared" si="45"/>
        <v>3.9926712639669488</v>
      </c>
      <c r="D440" s="172">
        <f t="shared" si="46"/>
        <v>7.0833175027179571</v>
      </c>
      <c r="E440" s="626">
        <f t="shared" si="47"/>
        <v>0.84397356081995811</v>
      </c>
      <c r="F440" s="597">
        <v>669</v>
      </c>
      <c r="G440" s="626">
        <f t="shared" si="44"/>
        <v>1.1332275647036358</v>
      </c>
      <c r="H440" s="172">
        <f t="shared" si="48"/>
        <v>1.0086120233339526</v>
      </c>
      <c r="I440" s="172">
        <f t="shared" si="49"/>
        <v>3.5601393921183941</v>
      </c>
      <c r="J440" s="626">
        <f t="shared" si="50"/>
        <v>1</v>
      </c>
      <c r="K440" s="597"/>
      <c r="L440" s="597"/>
      <c r="M440" s="598"/>
    </row>
    <row r="441" spans="1:13" x14ac:dyDescent="0.2">
      <c r="A441" s="12">
        <v>170</v>
      </c>
      <c r="B441" s="626">
        <f t="shared" si="43"/>
        <v>2.2480487660444362</v>
      </c>
      <c r="C441" s="172">
        <f t="shared" si="45"/>
        <v>3.9691849624142015</v>
      </c>
      <c r="D441" s="172">
        <f t="shared" si="46"/>
        <v>7.0624534883168</v>
      </c>
      <c r="E441" s="626">
        <f t="shared" si="47"/>
        <v>0.84544554363063851</v>
      </c>
      <c r="F441" s="597">
        <v>670</v>
      </c>
      <c r="G441" s="626">
        <f t="shared" si="44"/>
        <v>1.1323815566986646</v>
      </c>
      <c r="H441" s="172">
        <f t="shared" si="48"/>
        <v>1.0071066322543494</v>
      </c>
      <c r="I441" s="172">
        <f t="shared" si="49"/>
        <v>3.5574815795850983</v>
      </c>
      <c r="J441" s="626">
        <f t="shared" si="50"/>
        <v>1</v>
      </c>
      <c r="K441" s="597"/>
      <c r="L441" s="597"/>
      <c r="M441" s="598"/>
    </row>
    <row r="442" spans="1:13" x14ac:dyDescent="0.2">
      <c r="A442" s="12">
        <v>171</v>
      </c>
      <c r="B442" s="626">
        <f t="shared" si="43"/>
        <v>2.241465885832977</v>
      </c>
      <c r="C442" s="172">
        <f t="shared" si="45"/>
        <v>3.9459733544468669</v>
      </c>
      <c r="D442" s="172">
        <f t="shared" si="46"/>
        <v>7.0417727602050189</v>
      </c>
      <c r="E442" s="626">
        <f t="shared" si="47"/>
        <v>0.8469175264413189</v>
      </c>
      <c r="F442" s="597">
        <v>671</v>
      </c>
      <c r="G442" s="626">
        <f t="shared" si="44"/>
        <v>1.1315374406240724</v>
      </c>
      <c r="H442" s="172">
        <f t="shared" si="48"/>
        <v>1.0056057281824355</v>
      </c>
      <c r="I442" s="172">
        <f t="shared" si="49"/>
        <v>3.5548297107263824</v>
      </c>
      <c r="J442" s="626">
        <f t="shared" si="50"/>
        <v>1</v>
      </c>
      <c r="K442" s="597"/>
      <c r="L442" s="597"/>
      <c r="M442" s="598"/>
    </row>
    <row r="443" spans="1:13" x14ac:dyDescent="0.2">
      <c r="A443" s="12">
        <v>172</v>
      </c>
      <c r="B443" s="626">
        <f t="shared" si="43"/>
        <v>2.2349404982290277</v>
      </c>
      <c r="C443" s="172">
        <f t="shared" si="45"/>
        <v>3.9230316488977568</v>
      </c>
      <c r="D443" s="172">
        <f t="shared" si="46"/>
        <v>7.0212726504466252</v>
      </c>
      <c r="E443" s="626">
        <f t="shared" si="47"/>
        <v>0.84838950925199941</v>
      </c>
      <c r="F443" s="597">
        <v>672</v>
      </c>
      <c r="G443" s="626">
        <f t="shared" si="44"/>
        <v>1.1306952094388056</v>
      </c>
      <c r="H443" s="172">
        <f t="shared" si="48"/>
        <v>1.0041092910869258</v>
      </c>
      <c r="I443" s="172">
        <f t="shared" si="49"/>
        <v>3.5521837634221245</v>
      </c>
      <c r="J443" s="626">
        <f t="shared" si="50"/>
        <v>1</v>
      </c>
      <c r="K443" s="597"/>
      <c r="L443" s="597"/>
      <c r="M443" s="598"/>
    </row>
    <row r="444" spans="1:13" x14ac:dyDescent="0.2">
      <c r="A444" s="12">
        <v>173</v>
      </c>
      <c r="B444" s="626">
        <f t="shared" si="43"/>
        <v>2.2284717712081239</v>
      </c>
      <c r="C444" s="172">
        <f t="shared" si="45"/>
        <v>3.9003551653781159</v>
      </c>
      <c r="D444" s="172">
        <f t="shared" si="46"/>
        <v>7.0009505451596761</v>
      </c>
      <c r="E444" s="626">
        <f t="shared" si="47"/>
        <v>0.8498614920626798</v>
      </c>
      <c r="F444" s="597">
        <v>673</v>
      </c>
      <c r="G444" s="626">
        <f t="shared" si="44"/>
        <v>1.1298548561384427</v>
      </c>
      <c r="H444" s="172">
        <f t="shared" si="48"/>
        <v>1.0026173010555932</v>
      </c>
      <c r="I444" s="172">
        <f t="shared" si="49"/>
        <v>3.5495437156672844</v>
      </c>
      <c r="J444" s="626">
        <f t="shared" si="50"/>
        <v>1</v>
      </c>
      <c r="K444" s="597"/>
      <c r="L444" s="597"/>
      <c r="M444" s="598"/>
    </row>
    <row r="445" spans="1:13" x14ac:dyDescent="0.2">
      <c r="A445" s="12">
        <v>174</v>
      </c>
      <c r="B445" s="626">
        <f t="shared" si="43"/>
        <v>2.2220588895061111</v>
      </c>
      <c r="C445" s="172">
        <f t="shared" si="45"/>
        <v>3.8779393310943342</v>
      </c>
      <c r="D445" s="172">
        <f t="shared" si="46"/>
        <v>6.980803883116292</v>
      </c>
      <c r="E445" s="626">
        <f t="shared" si="47"/>
        <v>0.85133347487336031</v>
      </c>
      <c r="F445" s="597">
        <v>674</v>
      </c>
      <c r="G445" s="626">
        <f t="shared" si="44"/>
        <v>1.1290163737549481</v>
      </c>
      <c r="H445" s="172">
        <f t="shared" si="48"/>
        <v>1.0011297382943829</v>
      </c>
      <c r="I445" s="172">
        <f t="shared" si="49"/>
        <v>3.546909545571133</v>
      </c>
      <c r="J445" s="626">
        <f t="shared" si="50"/>
        <v>1</v>
      </c>
      <c r="K445" s="597"/>
      <c r="L445" s="597"/>
      <c r="M445" s="598"/>
    </row>
    <row r="446" spans="1:13" x14ac:dyDescent="0.2">
      <c r="A446" s="12">
        <v>175</v>
      </c>
      <c r="B446" s="626">
        <f t="shared" si="43"/>
        <v>2.2157010541875453</v>
      </c>
      <c r="C446" s="172">
        <f t="shared" si="45"/>
        <v>3.8557796777737949</v>
      </c>
      <c r="D446" s="172">
        <f t="shared" si="46"/>
        <v>6.9608301543867519</v>
      </c>
      <c r="E446" s="626">
        <f t="shared" si="47"/>
        <v>0.8528054576840407</v>
      </c>
      <c r="F446" s="597">
        <v>675</v>
      </c>
      <c r="G446" s="626">
        <f t="shared" si="44"/>
        <v>1.128179755356431</v>
      </c>
      <c r="H446" s="172">
        <f t="shared" si="48"/>
        <v>0.99964658312653987</v>
      </c>
      <c r="I446" s="172">
        <f t="shared" si="49"/>
        <v>3.5442812313564938</v>
      </c>
      <c r="J446" s="626">
        <f t="shared" si="50"/>
        <v>1</v>
      </c>
      <c r="K446" s="597"/>
      <c r="L446" s="597"/>
      <c r="M446" s="598"/>
    </row>
    <row r="447" spans="1:13" x14ac:dyDescent="0.2">
      <c r="A447" s="12">
        <v>176</v>
      </c>
      <c r="B447" s="626">
        <f t="shared" si="43"/>
        <v>2.2093974822276015</v>
      </c>
      <c r="C447" s="172">
        <f t="shared" si="45"/>
        <v>3.8338718386955351</v>
      </c>
      <c r="D447" s="172">
        <f t="shared" si="46"/>
        <v>6.941026899026018</v>
      </c>
      <c r="E447" s="626">
        <f t="shared" si="47"/>
        <v>0.8542774404947211</v>
      </c>
      <c r="F447" s="597">
        <v>676</v>
      </c>
      <c r="G447" s="626">
        <f t="shared" si="44"/>
        <v>1.1273449940469027</v>
      </c>
      <c r="H447" s="172">
        <f t="shared" si="48"/>
        <v>0.99816781599173721</v>
      </c>
      <c r="I447" s="172">
        <f t="shared" si="49"/>
        <v>3.5416587513589786</v>
      </c>
      <c r="J447" s="626">
        <f t="shared" si="50"/>
        <v>1</v>
      </c>
      <c r="K447" s="597"/>
      <c r="L447" s="597"/>
      <c r="M447" s="598"/>
    </row>
    <row r="448" spans="1:13" x14ac:dyDescent="0.2">
      <c r="A448" s="12">
        <v>177</v>
      </c>
      <c r="B448" s="626">
        <f t="shared" si="43"/>
        <v>2.2031474061069902</v>
      </c>
      <c r="C448" s="172">
        <f t="shared" si="45"/>
        <v>3.8122115458215484</v>
      </c>
      <c r="D448" s="172">
        <f t="shared" si="46"/>
        <v>6.9213917058011294</v>
      </c>
      <c r="E448" s="626">
        <f t="shared" si="47"/>
        <v>0.85574942330540149</v>
      </c>
      <c r="F448" s="597">
        <v>677</v>
      </c>
      <c r="G448" s="626">
        <f t="shared" si="44"/>
        <v>1.1265120829660398</v>
      </c>
      <c r="H448" s="172">
        <f t="shared" si="48"/>
        <v>0.99669341744522022</v>
      </c>
      <c r="I448" s="172">
        <f t="shared" si="49"/>
        <v>3.5390420840262462</v>
      </c>
      <c r="J448" s="626">
        <f t="shared" si="50"/>
        <v>1</v>
      </c>
      <c r="K448" s="597"/>
      <c r="L448" s="597"/>
      <c r="M448" s="598"/>
    </row>
    <row r="449" spans="1:13" x14ac:dyDescent="0.2">
      <c r="A449" s="12">
        <v>178</v>
      </c>
      <c r="B449" s="626">
        <f t="shared" si="43"/>
        <v>2.1969500734194112</v>
      </c>
      <c r="C449" s="172">
        <f t="shared" si="45"/>
        <v>3.7907946270247992</v>
      </c>
      <c r="D449" s="172">
        <f t="shared" si="46"/>
        <v>6.901922210957979</v>
      </c>
      <c r="E449" s="626">
        <f t="shared" si="47"/>
        <v>0.857221406116082</v>
      </c>
      <c r="F449" s="597">
        <v>678</v>
      </c>
      <c r="G449" s="626">
        <f t="shared" si="44"/>
        <v>1.1256810152889469</v>
      </c>
      <c r="H449" s="172">
        <f t="shared" si="48"/>
        <v>0.99522336815695334</v>
      </c>
      <c r="I449" s="172">
        <f t="shared" si="49"/>
        <v>3.5364312079172553</v>
      </c>
      <c r="J449" s="626">
        <f t="shared" si="50"/>
        <v>1</v>
      </c>
      <c r="K449" s="597"/>
      <c r="L449" s="597"/>
      <c r="M449" s="598"/>
    </row>
    <row r="450" spans="1:13" x14ac:dyDescent="0.2">
      <c r="A450" s="12">
        <v>179</v>
      </c>
      <c r="B450" s="626">
        <f t="shared" si="43"/>
        <v>2.1908047464910809</v>
      </c>
      <c r="C450" s="172">
        <f t="shared" si="45"/>
        <v>3.7696170034101355</v>
      </c>
      <c r="D450" s="172">
        <f t="shared" si="46"/>
        <v>6.8826160970260286</v>
      </c>
      <c r="E450" s="626">
        <f t="shared" si="47"/>
        <v>0.8586933889267625</v>
      </c>
      <c r="F450" s="597">
        <v>679</v>
      </c>
      <c r="G450" s="626">
        <f t="shared" si="44"/>
        <v>1.1248517842259207</v>
      </c>
      <c r="H450" s="172">
        <f t="shared" si="48"/>
        <v>0.99375764891077212</v>
      </c>
      <c r="I450" s="172">
        <f t="shared" si="49"/>
        <v>3.5338261017015236</v>
      </c>
      <c r="J450" s="626">
        <f t="shared" si="50"/>
        <v>1</v>
      </c>
      <c r="K450" s="597"/>
      <c r="L450" s="597"/>
      <c r="M450" s="598"/>
    </row>
    <row r="451" spans="1:13" x14ac:dyDescent="0.2">
      <c r="A451" s="12">
        <v>180</v>
      </c>
      <c r="B451" s="626">
        <f t="shared" si="43"/>
        <v>2.1847107020119072</v>
      </c>
      <c r="C451" s="172">
        <f t="shared" si="45"/>
        <v>3.7486746867245233</v>
      </c>
      <c r="D451" s="172">
        <f t="shared" si="46"/>
        <v>6.8634710916596076</v>
      </c>
      <c r="E451" s="626">
        <f t="shared" si="47"/>
        <v>0.8601653717374429</v>
      </c>
      <c r="F451" s="597">
        <v>680</v>
      </c>
      <c r="G451" s="626">
        <f t="shared" si="44"/>
        <v>1.1240243830222181</v>
      </c>
      <c r="H451" s="172">
        <f t="shared" si="48"/>
        <v>0.99229624060355037</v>
      </c>
      <c r="I451" s="172">
        <f t="shared" si="49"/>
        <v>3.5312267441584</v>
      </c>
      <c r="J451" s="626">
        <f t="shared" si="50"/>
        <v>1</v>
      </c>
      <c r="K451" s="597"/>
      <c r="L451" s="597"/>
      <c r="M451" s="598"/>
    </row>
    <row r="452" spans="1:13" x14ac:dyDescent="0.2">
      <c r="A452" s="12">
        <v>181</v>
      </c>
      <c r="B452" s="626">
        <f t="shared" si="43"/>
        <v>2.1786672306778843</v>
      </c>
      <c r="C452" s="172">
        <f t="shared" si="45"/>
        <v>3.7279637768531177</v>
      </c>
      <c r="D452" s="172">
        <f t="shared" si="46"/>
        <v>6.84448496651446</v>
      </c>
      <c r="E452" s="626">
        <f t="shared" si="47"/>
        <v>0.86163735454812329</v>
      </c>
      <c r="F452" s="597">
        <v>681</v>
      </c>
      <c r="G452" s="626">
        <f t="shared" si="44"/>
        <v>1.1231988049578248</v>
      </c>
      <c r="H452" s="172">
        <f t="shared" si="48"/>
        <v>0.99083912424436738</v>
      </c>
      <c r="I452" s="172">
        <f t="shared" si="49"/>
        <v>3.528633114176337</v>
      </c>
      <c r="J452" s="626">
        <f t="shared" si="50"/>
        <v>1</v>
      </c>
      <c r="K452" s="597"/>
      <c r="L452" s="597"/>
      <c r="M452" s="598"/>
    </row>
    <row r="453" spans="1:13" x14ac:dyDescent="0.2">
      <c r="A453" s="12">
        <v>182</v>
      </c>
      <c r="B453" s="626">
        <f t="shared" si="43"/>
        <v>2.1726736368443071</v>
      </c>
      <c r="C453" s="172">
        <f t="shared" si="45"/>
        <v>3.7074804593978796</v>
      </c>
      <c r="D453" s="172">
        <f t="shared" si="46"/>
        <v>6.8256555361582931</v>
      </c>
      <c r="E453" s="626">
        <f t="shared" si="47"/>
        <v>0.86310933735880369</v>
      </c>
      <c r="F453" s="597">
        <v>682</v>
      </c>
      <c r="G453" s="626">
        <f t="shared" si="44"/>
        <v>1.1223750433472262</v>
      </c>
      <c r="H453" s="172">
        <f t="shared" si="48"/>
        <v>0.98938628095368653</v>
      </c>
      <c r="I453" s="172">
        <f t="shared" si="49"/>
        <v>3.5260451907521713</v>
      </c>
      <c r="J453" s="626">
        <f t="shared" si="50"/>
        <v>1</v>
      </c>
      <c r="K453" s="597"/>
      <c r="L453" s="597"/>
      <c r="M453" s="598"/>
    </row>
    <row r="454" spans="1:13" x14ac:dyDescent="0.2">
      <c r="A454" s="12">
        <v>183</v>
      </c>
      <c r="B454" s="626">
        <f t="shared" si="43"/>
        <v>2.1667292381894292</v>
      </c>
      <c r="C454" s="172">
        <f t="shared" si="45"/>
        <v>3.6872210033355959</v>
      </c>
      <c r="D454" s="172">
        <f t="shared" si="46"/>
        <v>6.8069806570141198</v>
      </c>
      <c r="E454" s="626">
        <f t="shared" si="47"/>
        <v>0.86458132016948419</v>
      </c>
      <c r="F454" s="597">
        <v>683</v>
      </c>
      <c r="G454" s="626">
        <f t="shared" si="44"/>
        <v>1.1215530915391794</v>
      </c>
      <c r="H454" s="172">
        <f t="shared" si="48"/>
        <v>0.98793769196253922</v>
      </c>
      <c r="I454" s="172">
        <f t="shared" si="49"/>
        <v>3.5234629529904065</v>
      </c>
      <c r="J454" s="626">
        <f t="shared" si="50"/>
        <v>1</v>
      </c>
      <c r="K454" s="597"/>
      <c r="L454" s="597"/>
      <c r="M454" s="598"/>
    </row>
    <row r="455" spans="1:13" x14ac:dyDescent="0.2">
      <c r="A455" s="12">
        <v>184</v>
      </c>
      <c r="B455" s="626">
        <f t="shared" si="43"/>
        <v>2.1608333653881804</v>
      </c>
      <c r="C455" s="172">
        <f t="shared" si="45"/>
        <v>3.6671817587522506</v>
      </c>
      <c r="D455" s="172">
        <f t="shared" si="46"/>
        <v>6.7884582263352167</v>
      </c>
      <c r="E455" s="626">
        <f t="shared" si="47"/>
        <v>0.8660533029801647</v>
      </c>
      <c r="F455" s="597">
        <v>684</v>
      </c>
      <c r="G455" s="626">
        <f t="shared" si="44"/>
        <v>1.1207329429164885</v>
      </c>
      <c r="H455" s="172">
        <f t="shared" si="48"/>
        <v>0.98649333861171673</v>
      </c>
      <c r="I455" s="172">
        <f t="shared" si="49"/>
        <v>3.5208863801025094</v>
      </c>
      <c r="J455" s="626">
        <f t="shared" si="50"/>
        <v>1</v>
      </c>
      <c r="K455" s="597"/>
      <c r="L455" s="597"/>
      <c r="M455" s="598"/>
    </row>
    <row r="456" spans="1:13" x14ac:dyDescent="0.2">
      <c r="A456" s="12">
        <v>185</v>
      </c>
      <c r="B456" s="626">
        <f t="shared" si="43"/>
        <v>2.1549853617956027</v>
      </c>
      <c r="C456" s="172">
        <f t="shared" si="45"/>
        <v>3.6473591546508883</v>
      </c>
      <c r="D456" s="172">
        <f t="shared" si="46"/>
        <v>6.7700861812106083</v>
      </c>
      <c r="E456" s="626">
        <f t="shared" si="47"/>
        <v>0.86752528579084509</v>
      </c>
      <c r="F456" s="597">
        <v>685</v>
      </c>
      <c r="G456" s="626">
        <f t="shared" si="44"/>
        <v>1.1199145908957802</v>
      </c>
      <c r="H456" s="172">
        <f t="shared" si="48"/>
        <v>0.9850532023509696</v>
      </c>
      <c r="I456" s="172">
        <f t="shared" si="49"/>
        <v>3.5183154514062016</v>
      </c>
      <c r="J456" s="626">
        <f t="shared" si="50"/>
        <v>1</v>
      </c>
      <c r="K456" s="597"/>
      <c r="L456" s="597"/>
      <c r="M456" s="598"/>
    </row>
    <row r="457" spans="1:13" x14ac:dyDescent="0.2">
      <c r="A457" s="12">
        <v>186</v>
      </c>
      <c r="B457" s="626">
        <f t="shared" si="43"/>
        <v>2.1491845831396588</v>
      </c>
      <c r="C457" s="172">
        <f t="shared" si="45"/>
        <v>3.6277496968301848</v>
      </c>
      <c r="D457" s="172">
        <f t="shared" si="46"/>
        <v>6.7518624975999941</v>
      </c>
      <c r="E457" s="626">
        <f t="shared" si="47"/>
        <v>0.86899726860152549</v>
      </c>
      <c r="F457" s="597">
        <v>686</v>
      </c>
      <c r="G457" s="626">
        <f t="shared" si="44"/>
        <v>1.1190980289272823</v>
      </c>
      <c r="H457" s="172">
        <f t="shared" si="48"/>
        <v>0.98361726473821298</v>
      </c>
      <c r="I457" s="172">
        <f t="shared" si="49"/>
        <v>3.5157501463247676</v>
      </c>
      <c r="J457" s="626">
        <f t="shared" si="50"/>
        <v>1</v>
      </c>
      <c r="K457" s="597"/>
      <c r="L457" s="597"/>
      <c r="M457" s="598"/>
    </row>
    <row r="458" spans="1:13" x14ac:dyDescent="0.2">
      <c r="A458" s="12">
        <v>187</v>
      </c>
      <c r="B458" s="626">
        <f t="shared" si="43"/>
        <v>2.1434303972230868</v>
      </c>
      <c r="C458" s="172">
        <f t="shared" si="45"/>
        <v>3.608349965831092</v>
      </c>
      <c r="D458" s="172">
        <f t="shared" si="46"/>
        <v>6.7337851893971017</v>
      </c>
      <c r="E458" s="626">
        <f t="shared" si="47"/>
        <v>0.87046925141220588</v>
      </c>
      <c r="F458" s="597">
        <v>687</v>
      </c>
      <c r="G458" s="626">
        <f t="shared" si="44"/>
        <v>1.1182832504946034</v>
      </c>
      <c r="H458" s="172">
        <f t="shared" si="48"/>
        <v>0.98218550743873989</v>
      </c>
      <c r="I458" s="172">
        <f t="shared" si="49"/>
        <v>3.5131904443863604</v>
      </c>
      <c r="J458" s="626">
        <f t="shared" si="50"/>
        <v>1</v>
      </c>
      <c r="K458" s="597"/>
      <c r="L458" s="597"/>
      <c r="M458" s="598"/>
    </row>
    <row r="459" spans="1:13" x14ac:dyDescent="0.2">
      <c r="A459" s="12">
        <v>188</v>
      </c>
      <c r="B459" s="626">
        <f t="shared" si="43"/>
        <v>2.1377221836339908</v>
      </c>
      <c r="C459" s="172">
        <f t="shared" si="45"/>
        <v>3.5891566149490117</v>
      </c>
      <c r="D459" s="172">
        <f t="shared" si="46"/>
        <v>6.7158523075204766</v>
      </c>
      <c r="E459" s="626">
        <f t="shared" si="47"/>
        <v>0.87194123422288639</v>
      </c>
      <c r="F459" s="597">
        <v>688</v>
      </c>
      <c r="G459" s="626">
        <f t="shared" si="44"/>
        <v>1.1174702491145139</v>
      </c>
      <c r="H459" s="172">
        <f t="shared" si="48"/>
        <v>0.9807579122244392</v>
      </c>
      <c r="I459" s="172">
        <f t="shared" si="49"/>
        <v>3.5106363252233126</v>
      </c>
      <c r="J459" s="626">
        <f t="shared" si="50"/>
        <v>1</v>
      </c>
      <c r="K459" s="597"/>
      <c r="L459" s="597"/>
      <c r="M459" s="598"/>
    </row>
    <row r="460" spans="1:13" x14ac:dyDescent="0.2">
      <c r="A460" s="12">
        <v>189</v>
      </c>
      <c r="B460" s="626">
        <f t="shared" si="43"/>
        <v>2.1320593334648614</v>
      </c>
      <c r="C460" s="172">
        <f t="shared" si="45"/>
        <v>3.5701663683090694</v>
      </c>
      <c r="D460" s="172">
        <f t="shared" si="46"/>
        <v>6.6980619390307599</v>
      </c>
      <c r="E460" s="626">
        <f t="shared" si="47"/>
        <v>0.87341321703356678</v>
      </c>
      <c r="F460" s="597">
        <v>689</v>
      </c>
      <c r="G460" s="626">
        <f t="shared" si="44"/>
        <v>1.1166590183367304</v>
      </c>
      <c r="H460" s="172">
        <f t="shared" si="48"/>
        <v>0.97933446097302512</v>
      </c>
      <c r="I460" s="172">
        <f t="shared" si="49"/>
        <v>3.5080877685714622</v>
      </c>
      <c r="J460" s="626">
        <f t="shared" si="50"/>
        <v>1</v>
      </c>
      <c r="K460" s="597"/>
      <c r="L460" s="597"/>
      <c r="M460" s="598"/>
    </row>
    <row r="461" spans="1:13" x14ac:dyDescent="0.2">
      <c r="A461" s="12">
        <v>190</v>
      </c>
      <c r="B461" s="626">
        <f t="shared" si="43"/>
        <v>2.1264412490397451</v>
      </c>
      <c r="C461" s="172">
        <f t="shared" si="45"/>
        <v>3.5513760190021806</v>
      </c>
      <c r="D461" s="172">
        <f t="shared" si="46"/>
        <v>6.6804122062735667</v>
      </c>
      <c r="E461" s="626">
        <f t="shared" si="47"/>
        <v>0.87488519984424729</v>
      </c>
      <c r="F461" s="597">
        <v>690</v>
      </c>
      <c r="G461" s="626">
        <f t="shared" si="44"/>
        <v>1.1158495517436999</v>
      </c>
      <c r="H461" s="172">
        <f t="shared" si="48"/>
        <v>0.97791513566726707</v>
      </c>
      <c r="I461" s="172">
        <f t="shared" si="49"/>
        <v>3.5055447542694713</v>
      </c>
      <c r="J461" s="626">
        <f t="shared" si="50"/>
        <v>1</v>
      </c>
      <c r="K461" s="597"/>
      <c r="L461" s="597"/>
      <c r="M461" s="598"/>
    </row>
    <row r="462" spans="1:13" x14ac:dyDescent="0.2">
      <c r="A462" s="12">
        <v>191</v>
      </c>
      <c r="B462" s="626">
        <f t="shared" si="43"/>
        <v>2.1208673436492749</v>
      </c>
      <c r="C462" s="172">
        <f t="shared" si="45"/>
        <v>3.5327824272796549</v>
      </c>
      <c r="D462" s="172">
        <f t="shared" si="46"/>
        <v>6.6629012660470615</v>
      </c>
      <c r="E462" s="626">
        <f t="shared" si="47"/>
        <v>0.87635718265492768</v>
      </c>
      <c r="F462" s="597">
        <v>691</v>
      </c>
      <c r="G462" s="626">
        <f t="shared" si="44"/>
        <v>1.115041842950387</v>
      </c>
      <c r="H462" s="172">
        <f t="shared" si="48"/>
        <v>0.976499918394232</v>
      </c>
      <c r="I462" s="172">
        <f t="shared" si="49"/>
        <v>3.5030072622581598</v>
      </c>
      <c r="J462" s="626">
        <f t="shared" si="50"/>
        <v>1</v>
      </c>
      <c r="K462" s="597"/>
      <c r="L462" s="597"/>
      <c r="M462" s="598"/>
    </row>
    <row r="463" spans="1:13" x14ac:dyDescent="0.2">
      <c r="A463" s="12">
        <v>192</v>
      </c>
      <c r="B463" s="626">
        <f t="shared" si="43"/>
        <v>2.1153370412933081</v>
      </c>
      <c r="C463" s="172">
        <f t="shared" si="45"/>
        <v>3.5143825188042417</v>
      </c>
      <c r="D463" s="172">
        <f t="shared" si="46"/>
        <v>6.6455273087934259</v>
      </c>
      <c r="E463" s="626">
        <f t="shared" si="47"/>
        <v>0.87782916546560807</v>
      </c>
      <c r="F463" s="597">
        <v>692</v>
      </c>
      <c r="G463" s="626">
        <f t="shared" si="44"/>
        <v>1.1142358856040619</v>
      </c>
      <c r="H463" s="172">
        <f t="shared" si="48"/>
        <v>0.97508879134452897</v>
      </c>
      <c r="I463" s="172">
        <f t="shared" si="49"/>
        <v>3.500475272579838</v>
      </c>
      <c r="J463" s="626">
        <f t="shared" si="50"/>
        <v>1</v>
      </c>
      <c r="K463" s="597"/>
      <c r="L463" s="597"/>
      <c r="M463" s="598"/>
    </row>
    <row r="464" spans="1:13" x14ac:dyDescent="0.2">
      <c r="A464" s="12">
        <v>193</v>
      </c>
      <c r="B464" s="626">
        <f t="shared" ref="B464:B527" si="51">SQRT(PI()*$I$266*$I$264/SQRT(3)/A464)</f>
        <v>2.1098497764309001</v>
      </c>
      <c r="C464" s="172">
        <f t="shared" si="45"/>
        <v>3.4961732829555152</v>
      </c>
      <c r="D464" s="172">
        <f t="shared" si="46"/>
        <v>6.6282885578133834</v>
      </c>
      <c r="E464" s="626">
        <f t="shared" si="47"/>
        <v>0.87930114827628847</v>
      </c>
      <c r="F464" s="597">
        <v>693</v>
      </c>
      <c r="G464" s="626">
        <f t="shared" ref="G464:G527" si="52">SQRT(PI()*$I$266*$I$264/SQRT(3)/F464)</f>
        <v>1.1134316733840919</v>
      </c>
      <c r="H464" s="172">
        <f t="shared" si="48"/>
        <v>0.97368173681156456</v>
      </c>
      <c r="I464" s="172">
        <f t="shared" si="49"/>
        <v>3.4979487653776529</v>
      </c>
      <c r="J464" s="626">
        <f t="shared" si="50"/>
        <v>1</v>
      </c>
      <c r="K464" s="597"/>
      <c r="L464" s="597"/>
      <c r="M464" s="598"/>
    </row>
    <row r="465" spans="1:13" x14ac:dyDescent="0.2">
      <c r="A465" s="12">
        <v>194</v>
      </c>
      <c r="B465" s="626">
        <f t="shared" si="51"/>
        <v>2.1044049937373819</v>
      </c>
      <c r="C465" s="172">
        <f t="shared" ref="C465:C528" si="53">PI()*B465^2/4</f>
        <v>3.4781517711877021</v>
      </c>
      <c r="D465" s="172">
        <f t="shared" ref="D465:D528" si="54">PI()*B465</f>
        <v>6.6111832685030336</v>
      </c>
      <c r="E465" s="626">
        <f t="shared" ref="E465:E528" si="55">IF(A465&lt;=$C$265,(D465*$I$265/PI()^2/C465)*SQRT(A465/$B$265),IF(A465&lt;$B$265,($C$270-$B$270)/($C$265-$B$265)*A465+($C$265*$B$270-$B$265*$C$270)/($C$265-$B$265),IF(A465=$B$265,0.45*SQRT(D465/$I$265),IF(A465&lt;$D$265,($B$270-$D$270)/($B$265-$D$265)*A465+($B$265*$D$270-$D$265*$B$270)/($B$265-$D$265),1))))</f>
        <v>0.88077313108696897</v>
      </c>
      <c r="F465" s="597">
        <v>694</v>
      </c>
      <c r="G465" s="626">
        <f t="shared" si="52"/>
        <v>1.1126292000017308</v>
      </c>
      <c r="H465" s="172">
        <f t="shared" si="48"/>
        <v>0.97227873719079883</v>
      </c>
      <c r="I465" s="172">
        <f t="shared" si="49"/>
        <v>3.4954277208949263</v>
      </c>
      <c r="J465" s="626">
        <f t="shared" si="50"/>
        <v>1</v>
      </c>
      <c r="K465" s="597"/>
      <c r="L465" s="597"/>
      <c r="M465" s="598"/>
    </row>
    <row r="466" spans="1:13" x14ac:dyDescent="0.2">
      <c r="A466" s="12">
        <v>195</v>
      </c>
      <c r="B466" s="626">
        <f t="shared" si="51"/>
        <v>2.0990021478682954</v>
      </c>
      <c r="C466" s="172">
        <f t="shared" si="53"/>
        <v>3.4603150954380215</v>
      </c>
      <c r="D466" s="172">
        <f t="shared" si="54"/>
        <v>6.5942097276122338</v>
      </c>
      <c r="E466" s="626">
        <f t="shared" si="55"/>
        <v>0.88224511389764948</v>
      </c>
      <c r="F466" s="597">
        <v>695</v>
      </c>
      <c r="G466" s="626">
        <f t="shared" si="52"/>
        <v>1.1118284591999146</v>
      </c>
      <c r="H466" s="172">
        <f t="shared" si="48"/>
        <v>0.97087977497901323</v>
      </c>
      <c r="I466" s="172">
        <f t="shared" si="49"/>
        <v>3.4929121194745107</v>
      </c>
      <c r="J466" s="626">
        <f t="shared" si="50"/>
        <v>1</v>
      </c>
      <c r="K466" s="597"/>
      <c r="L466" s="597"/>
      <c r="M466" s="598"/>
    </row>
    <row r="467" spans="1:13" x14ac:dyDescent="0.2">
      <c r="A467" s="12">
        <v>196</v>
      </c>
      <c r="B467" s="626">
        <f t="shared" si="51"/>
        <v>2.093640703229962</v>
      </c>
      <c r="C467" s="172">
        <f t="shared" si="53"/>
        <v>3.4426604265837457</v>
      </c>
      <c r="D467" s="172">
        <f t="shared" si="54"/>
        <v>6.5773662525238166</v>
      </c>
      <c r="E467" s="626">
        <f t="shared" si="55"/>
        <v>0.88371709670832987</v>
      </c>
      <c r="F467" s="597">
        <v>696</v>
      </c>
      <c r="G467" s="626">
        <f t="shared" si="52"/>
        <v>1.1110294447530555</v>
      </c>
      <c r="H467" s="172">
        <f t="shared" si="48"/>
        <v>0.96948483277358355</v>
      </c>
      <c r="I467" s="172">
        <f t="shared" si="49"/>
        <v>3.490401941558146</v>
      </c>
      <c r="J467" s="626">
        <f t="shared" si="50"/>
        <v>1</v>
      </c>
      <c r="K467" s="597"/>
      <c r="L467" s="597"/>
      <c r="M467" s="598"/>
    </row>
    <row r="468" spans="1:13" x14ac:dyDescent="0.2">
      <c r="A468" s="12">
        <v>197</v>
      </c>
      <c r="B468" s="626">
        <f t="shared" si="51"/>
        <v>2.0883201337564636</v>
      </c>
      <c r="C468" s="172">
        <f t="shared" si="53"/>
        <v>3.4251849929462654</v>
      </c>
      <c r="D468" s="172">
        <f t="shared" si="54"/>
        <v>6.5606511905529601</v>
      </c>
      <c r="E468" s="626">
        <f t="shared" si="55"/>
        <v>0.88518907951901027</v>
      </c>
      <c r="F468" s="597">
        <v>697</v>
      </c>
      <c r="G468" s="626">
        <f t="shared" si="52"/>
        <v>1.1102321504668393</v>
      </c>
      <c r="H468" s="172">
        <f t="shared" si="48"/>
        <v>0.96809389327175666</v>
      </c>
      <c r="I468" s="172">
        <f t="shared" si="49"/>
        <v>3.4878971676858201</v>
      </c>
      <c r="J468" s="626">
        <f t="shared" si="50"/>
        <v>1</v>
      </c>
      <c r="K468" s="597"/>
      <c r="L468" s="597"/>
      <c r="M468" s="598"/>
    </row>
    <row r="469" spans="1:13" x14ac:dyDescent="0.2">
      <c r="A469" s="12">
        <v>198</v>
      </c>
      <c r="B469" s="626">
        <f t="shared" si="51"/>
        <v>2.0830399226928291</v>
      </c>
      <c r="C469" s="172">
        <f t="shared" si="53"/>
        <v>3.4078860788404768</v>
      </c>
      <c r="D469" s="172">
        <f t="shared" si="54"/>
        <v>6.5440629182660421</v>
      </c>
      <c r="E469" s="626">
        <f t="shared" si="55"/>
        <v>0.88666106232969066</v>
      </c>
      <c r="F469" s="597">
        <v>698</v>
      </c>
      <c r="G469" s="626">
        <f t="shared" si="52"/>
        <v>1.1094365701780224</v>
      </c>
      <c r="H469" s="172">
        <f t="shared" si="48"/>
        <v>0.96670693926993467</v>
      </c>
      <c r="I469" s="172">
        <f t="shared" si="49"/>
        <v>3.4853977784951322</v>
      </c>
      <c r="J469" s="626">
        <f t="shared" si="50"/>
        <v>1</v>
      </c>
      <c r="K469" s="597"/>
      <c r="L469" s="597"/>
      <c r="M469" s="598"/>
    </row>
    <row r="470" spans="1:13" x14ac:dyDescent="0.2">
      <c r="A470" s="12">
        <v>199</v>
      </c>
      <c r="B470" s="626">
        <f t="shared" si="51"/>
        <v>2.0777995623842176</v>
      </c>
      <c r="C470" s="172">
        <f t="shared" si="53"/>
        <v>3.3907610231679115</v>
      </c>
      <c r="D470" s="172">
        <f t="shared" si="54"/>
        <v>6.5275998408183451</v>
      </c>
      <c r="E470" s="626">
        <f t="shared" si="55"/>
        <v>0.88813304514037117</v>
      </c>
      <c r="F470" s="597">
        <v>699</v>
      </c>
      <c r="G470" s="626">
        <f t="shared" si="52"/>
        <v>1.1086426977542332</v>
      </c>
      <c r="H470" s="172">
        <f t="shared" si="48"/>
        <v>0.96532395366296753</v>
      </c>
      <c r="I470" s="172">
        <f t="shared" si="49"/>
        <v>3.4829037547206685</v>
      </c>
      <c r="J470" s="626">
        <f t="shared" si="50"/>
        <v>1</v>
      </c>
      <c r="K470" s="597"/>
      <c r="L470" s="597"/>
      <c r="M470" s="598"/>
    </row>
    <row r="471" spans="1:13" x14ac:dyDescent="0.2">
      <c r="A471" s="12">
        <v>200</v>
      </c>
      <c r="B471" s="626">
        <f t="shared" si="51"/>
        <v>2.0725985540709093</v>
      </c>
      <c r="C471" s="172">
        <f t="shared" si="53"/>
        <v>3.37380721805207</v>
      </c>
      <c r="D471" s="172">
        <f t="shared" si="54"/>
        <v>6.511260391309996</v>
      </c>
      <c r="E471" s="626">
        <f t="shared" si="55"/>
        <v>0.88960502795105156</v>
      </c>
      <c r="F471" s="597">
        <v>700</v>
      </c>
      <c r="G471" s="626">
        <f t="shared" si="52"/>
        <v>1.1078505270937726</v>
      </c>
      <c r="H471" s="172">
        <f t="shared" si="48"/>
        <v>0.96394491944344873</v>
      </c>
      <c r="I471" s="172">
        <f t="shared" si="49"/>
        <v>3.480415077193376</v>
      </c>
      <c r="J471" s="626">
        <f t="shared" si="50"/>
        <v>1</v>
      </c>
      <c r="K471" s="597"/>
      <c r="L471" s="597"/>
      <c r="M471" s="598"/>
    </row>
    <row r="472" spans="1:13" x14ac:dyDescent="0.2">
      <c r="A472" s="12">
        <v>201</v>
      </c>
      <c r="B472" s="626">
        <f t="shared" si="51"/>
        <v>2.0674364076889127</v>
      </c>
      <c r="C472" s="172">
        <f t="shared" si="53"/>
        <v>3.3570221075144979</v>
      </c>
      <c r="D472" s="172">
        <f t="shared" si="54"/>
        <v>6.495043030159561</v>
      </c>
      <c r="E472" s="626">
        <f t="shared" si="55"/>
        <v>0.89107701076173207</v>
      </c>
      <c r="F472" s="597">
        <v>701</v>
      </c>
      <c r="G472" s="626">
        <f t="shared" si="52"/>
        <v>1.1070600521254179</v>
      </c>
      <c r="H472" s="172">
        <f t="shared" si="48"/>
        <v>0.96256981970101896</v>
      </c>
      <c r="I472" s="172">
        <f t="shared" si="49"/>
        <v>3.4779317268399463</v>
      </c>
      <c r="J472" s="626">
        <f t="shared" si="50"/>
        <v>1</v>
      </c>
      <c r="K472" s="597"/>
      <c r="L472" s="597"/>
      <c r="M472" s="598"/>
    </row>
    <row r="473" spans="1:13" x14ac:dyDescent="0.2">
      <c r="A473" s="12">
        <v>202</v>
      </c>
      <c r="B473" s="626">
        <f t="shared" si="51"/>
        <v>2.0623126416760038</v>
      </c>
      <c r="C473" s="172">
        <f t="shared" si="53"/>
        <v>3.3404031861901684</v>
      </c>
      <c r="D473" s="172">
        <f t="shared" si="54"/>
        <v>6.4789462444946926</v>
      </c>
      <c r="E473" s="626">
        <f t="shared" si="55"/>
        <v>0.89254899357241246</v>
      </c>
      <c r="F473" s="597">
        <v>702</v>
      </c>
      <c r="G473" s="626">
        <f t="shared" si="52"/>
        <v>1.106271266808226</v>
      </c>
      <c r="H473" s="172">
        <f t="shared" si="48"/>
        <v>0.96119863762167268</v>
      </c>
      <c r="I473" s="172">
        <f t="shared" si="49"/>
        <v>3.4754536846821966</v>
      </c>
      <c r="J473" s="626">
        <f t="shared" si="50"/>
        <v>1</v>
      </c>
      <c r="K473" s="597"/>
      <c r="L473" s="597"/>
      <c r="M473" s="598"/>
    </row>
    <row r="474" spans="1:13" x14ac:dyDescent="0.2">
      <c r="A474" s="12">
        <v>203</v>
      </c>
      <c r="B474" s="626">
        <f t="shared" si="51"/>
        <v>2.0572267827830331</v>
      </c>
      <c r="C474" s="172">
        <f t="shared" si="53"/>
        <v>3.3239479980808593</v>
      </c>
      <c r="D474" s="172">
        <f t="shared" si="54"/>
        <v>6.4629685475593419</v>
      </c>
      <c r="E474" s="626">
        <f t="shared" si="55"/>
        <v>0.89402097638309286</v>
      </c>
      <c r="F474" s="597">
        <v>703</v>
      </c>
      <c r="G474" s="626">
        <f t="shared" si="52"/>
        <v>1.105484165131341</v>
      </c>
      <c r="H474" s="172">
        <f t="shared" si="48"/>
        <v>0.95983135648707574</v>
      </c>
      <c r="I474" s="172">
        <f t="shared" si="49"/>
        <v>3.4729809318364664</v>
      </c>
      <c r="J474" s="626">
        <f t="shared" si="50"/>
        <v>1</v>
      </c>
      <c r="K474" s="597"/>
      <c r="L474" s="597"/>
      <c r="M474" s="598"/>
    </row>
    <row r="475" spans="1:13" x14ac:dyDescent="0.2">
      <c r="A475" s="12">
        <v>204</v>
      </c>
      <c r="B475" s="626">
        <f t="shared" si="51"/>
        <v>2.052178365890319</v>
      </c>
      <c r="C475" s="172">
        <f t="shared" si="53"/>
        <v>3.3076541353451683</v>
      </c>
      <c r="D475" s="172">
        <f t="shared" si="54"/>
        <v>6.4471084781369328</v>
      </c>
      <c r="E475" s="626">
        <f t="shared" si="55"/>
        <v>0.89549295919377325</v>
      </c>
      <c r="F475" s="597">
        <v>704</v>
      </c>
      <c r="G475" s="626">
        <f t="shared" si="52"/>
        <v>1.1046987411138007</v>
      </c>
      <c r="H475" s="172">
        <f t="shared" si="48"/>
        <v>0.95846795967388376</v>
      </c>
      <c r="I475" s="172">
        <f t="shared" si="49"/>
        <v>3.470513449513009</v>
      </c>
      <c r="J475" s="626">
        <f t="shared" si="50"/>
        <v>1</v>
      </c>
      <c r="K475" s="597"/>
      <c r="L475" s="597"/>
      <c r="M475" s="598"/>
    </row>
    <row r="476" spans="1:13" x14ac:dyDescent="0.2">
      <c r="A476" s="12">
        <v>205</v>
      </c>
      <c r="B476" s="626">
        <f t="shared" si="51"/>
        <v>2.047166933828982</v>
      </c>
      <c r="C476" s="172">
        <f t="shared" si="53"/>
        <v>3.2915192371239712</v>
      </c>
      <c r="D476" s="172">
        <f t="shared" si="54"/>
        <v>6.4313645999890721</v>
      </c>
      <c r="E476" s="626">
        <f t="shared" si="55"/>
        <v>0.89696494200445376</v>
      </c>
      <c r="F476" s="597">
        <v>705</v>
      </c>
      <c r="G476" s="626">
        <f t="shared" si="52"/>
        <v>1.1039149888043467</v>
      </c>
      <c r="H476" s="172">
        <f t="shared" si="48"/>
        <v>0.95710843065306994</v>
      </c>
      <c r="I476" s="172">
        <f t="shared" si="49"/>
        <v>3.4680512190153943</v>
      </c>
      <c r="J476" s="626">
        <f t="shared" si="50"/>
        <v>1</v>
      </c>
      <c r="K476" s="597"/>
      <c r="L476" s="597"/>
      <c r="M476" s="598"/>
    </row>
    <row r="477" spans="1:13" x14ac:dyDescent="0.2">
      <c r="A477" s="12">
        <v>206</v>
      </c>
      <c r="B477" s="626">
        <f t="shared" si="51"/>
        <v>2.0421920372070472</v>
      </c>
      <c r="C477" s="172">
        <f t="shared" si="53"/>
        <v>3.2755409884000692</v>
      </c>
      <c r="D477" s="172">
        <f t="shared" si="54"/>
        <v>6.415735501309233</v>
      </c>
      <c r="E477" s="626">
        <f t="shared" si="55"/>
        <v>0.89843692481513426</v>
      </c>
      <c r="F477" s="597">
        <v>706</v>
      </c>
      <c r="G477" s="626">
        <f t="shared" si="52"/>
        <v>1.1031329022812337</v>
      </c>
      <c r="H477" s="172">
        <f t="shared" ref="H477:H540" si="56">PI()*G477^2/4</f>
        <v>0.95575275298925533</v>
      </c>
      <c r="I477" s="172">
        <f t="shared" ref="I477:I540" si="57">PI()*G477</f>
        <v>3.4655942217399112</v>
      </c>
      <c r="J477" s="626">
        <f t="shared" ref="J477:J540" si="58">IF(F477&lt;=$C$265,(I477*$I$265/PI()^2/H477)*SQRT(F477/$B$265),IF(F477&lt;$B$265,($C$270-$B$270)/($C$265-$B$265)*F477+($C$265*$B$270-$B$265*$C$270)/($C$265-$B$265),IF(F477=$B$265,0.45*SQRT(I477/$I$265),IF(F477&lt;$D$265,($B$270-$D$270)/($B$265-$D$265)*F477+($B$265*$D$270-$D$265*$B$270)/($B$265-$D$265),1))))</f>
        <v>1</v>
      </c>
      <c r="K477" s="597"/>
      <c r="L477" s="597"/>
      <c r="M477" s="598"/>
    </row>
    <row r="478" spans="1:13" x14ac:dyDescent="0.2">
      <c r="A478" s="12">
        <v>207</v>
      </c>
      <c r="B478" s="626">
        <f t="shared" si="51"/>
        <v>2.037253234240175</v>
      </c>
      <c r="C478" s="172">
        <f t="shared" si="53"/>
        <v>3.2597171188908907</v>
      </c>
      <c r="D478" s="172">
        <f t="shared" si="54"/>
        <v>6.4002197941909795</v>
      </c>
      <c r="E478" s="626">
        <f t="shared" si="55"/>
        <v>0.89990890762581466</v>
      </c>
      <c r="F478" s="597">
        <v>707</v>
      </c>
      <c r="G478" s="626">
        <f t="shared" si="52"/>
        <v>1.1023524756520431</v>
      </c>
      <c r="H478" s="172">
        <f t="shared" si="56"/>
        <v>0.95440091034004848</v>
      </c>
      <c r="I478" s="172">
        <f t="shared" si="57"/>
        <v>3.4631424391749799</v>
      </c>
      <c r="J478" s="626">
        <f t="shared" si="58"/>
        <v>1</v>
      </c>
      <c r="K478" s="597"/>
      <c r="L478" s="597"/>
      <c r="M478" s="598"/>
    </row>
    <row r="479" spans="1:13" x14ac:dyDescent="0.2">
      <c r="A479" s="12">
        <v>208</v>
      </c>
      <c r="B479" s="626">
        <f t="shared" si="51"/>
        <v>2.0323500905868768</v>
      </c>
      <c r="C479" s="172">
        <f t="shared" si="53"/>
        <v>3.2440454019731462</v>
      </c>
      <c r="D479" s="172">
        <f t="shared" si="54"/>
        <v>6.3848161141102828</v>
      </c>
      <c r="E479" s="626">
        <f t="shared" si="55"/>
        <v>0.90138089043649505</v>
      </c>
      <c r="F479" s="597">
        <v>708</v>
      </c>
      <c r="G479" s="626">
        <f t="shared" si="52"/>
        <v>1.1015737030534951</v>
      </c>
      <c r="H479" s="172">
        <f t="shared" si="56"/>
        <v>0.9530528864553871</v>
      </c>
      <c r="I479" s="172">
        <f t="shared" si="57"/>
        <v>3.4606958529005647</v>
      </c>
      <c r="J479" s="626">
        <f t="shared" si="58"/>
        <v>1</v>
      </c>
      <c r="K479" s="597"/>
      <c r="L479" s="597"/>
      <c r="M479" s="598"/>
    </row>
    <row r="480" spans="1:13" x14ac:dyDescent="0.2">
      <c r="A480" s="12">
        <v>209</v>
      </c>
      <c r="B480" s="626">
        <f t="shared" si="51"/>
        <v>2.0274821791880666</v>
      </c>
      <c r="C480" s="172">
        <f t="shared" si="53"/>
        <v>3.2285236536383453</v>
      </c>
      <c r="D480" s="172">
        <f t="shared" si="54"/>
        <v>6.369523119421455</v>
      </c>
      <c r="E480" s="626">
        <f t="shared" si="55"/>
        <v>0.90285287324717545</v>
      </c>
      <c r="F480" s="597">
        <v>709</v>
      </c>
      <c r="G480" s="626">
        <f t="shared" si="52"/>
        <v>1.1007965786512652</v>
      </c>
      <c r="H480" s="172">
        <f t="shared" si="56"/>
        <v>0.95170866517688868</v>
      </c>
      <c r="I480" s="172">
        <f t="shared" si="57"/>
        <v>3.4582544445875936</v>
      </c>
      <c r="J480" s="626">
        <f t="shared" si="58"/>
        <v>1</v>
      </c>
      <c r="K480" s="597"/>
      <c r="L480" s="597"/>
      <c r="M480" s="598"/>
    </row>
    <row r="481" spans="1:13" x14ac:dyDescent="0.2">
      <c r="A481" s="12">
        <v>210</v>
      </c>
      <c r="B481" s="626">
        <f t="shared" si="51"/>
        <v>2.022649080110825</v>
      </c>
      <c r="C481" s="172">
        <f t="shared" si="53"/>
        <v>3.213149731478163</v>
      </c>
      <c r="D481" s="172">
        <f t="shared" si="54"/>
        <v>6.3543394908663204</v>
      </c>
      <c r="E481" s="626">
        <f t="shared" si="55"/>
        <v>0.90432485605785595</v>
      </c>
      <c r="F481" s="597">
        <v>710</v>
      </c>
      <c r="G481" s="626">
        <f t="shared" si="52"/>
        <v>1.1000210966397994</v>
      </c>
      <c r="H481" s="172">
        <f t="shared" si="56"/>
        <v>0.95036823043720331</v>
      </c>
      <c r="I481" s="172">
        <f t="shared" si="57"/>
        <v>3.4558181959973817</v>
      </c>
      <c r="J481" s="626">
        <f t="shared" si="58"/>
        <v>1</v>
      </c>
      <c r="K481" s="597"/>
      <c r="L481" s="597"/>
      <c r="M481" s="598"/>
    </row>
    <row r="482" spans="1:13" x14ac:dyDescent="0.2">
      <c r="A482" s="12">
        <v>211</v>
      </c>
      <c r="B482" s="626">
        <f t="shared" si="51"/>
        <v>2.0178503803962369</v>
      </c>
      <c r="C482" s="172">
        <f t="shared" si="53"/>
        <v>3.1979215336986466</v>
      </c>
      <c r="D482" s="172">
        <f t="shared" si="54"/>
        <v>6.3392639310961876</v>
      </c>
      <c r="E482" s="626">
        <f t="shared" si="55"/>
        <v>0.90579683886853646</v>
      </c>
      <c r="F482" s="597">
        <v>711</v>
      </c>
      <c r="G482" s="626">
        <f t="shared" si="52"/>
        <v>1.0992472512421319</v>
      </c>
      <c r="H482" s="172">
        <f t="shared" si="56"/>
        <v>0.94903156625937313</v>
      </c>
      <c r="I482" s="172">
        <f t="shared" si="57"/>
        <v>3.4533870889810552</v>
      </c>
      <c r="J482" s="626">
        <f t="shared" si="58"/>
        <v>1</v>
      </c>
      <c r="K482" s="597"/>
      <c r="L482" s="597"/>
      <c r="M482" s="598"/>
    </row>
    <row r="483" spans="1:13" x14ac:dyDescent="0.2">
      <c r="A483" s="12">
        <v>212</v>
      </c>
      <c r="B483" s="626">
        <f t="shared" si="51"/>
        <v>2.0130856739111822</v>
      </c>
      <c r="C483" s="172">
        <f t="shared" si="53"/>
        <v>3.182836998162331</v>
      </c>
      <c r="D483" s="172">
        <f t="shared" si="54"/>
        <v>6.3242951642062275</v>
      </c>
      <c r="E483" s="626">
        <f t="shared" si="55"/>
        <v>0.90726882167921685</v>
      </c>
      <c r="F483" s="597">
        <v>712</v>
      </c>
      <c r="G483" s="626">
        <f t="shared" si="52"/>
        <v>1.0984750367097056</v>
      </c>
      <c r="H483" s="172">
        <f t="shared" si="56"/>
        <v>0.9476986567561998</v>
      </c>
      <c r="I483" s="172">
        <f t="shared" si="57"/>
        <v>3.4509611054789895</v>
      </c>
      <c r="J483" s="626">
        <f t="shared" si="58"/>
        <v>1</v>
      </c>
      <c r="K483" s="597"/>
      <c r="L483" s="597"/>
      <c r="M483" s="598"/>
    </row>
    <row r="484" spans="1:13" x14ac:dyDescent="0.2">
      <c r="A484" s="12">
        <v>213</v>
      </c>
      <c r="B484" s="626">
        <f t="shared" si="51"/>
        <v>2.0083545612039613</v>
      </c>
      <c r="C484" s="172">
        <f t="shared" si="53"/>
        <v>3.1678941014573438</v>
      </c>
      <c r="D484" s="172">
        <f t="shared" si="54"/>
        <v>6.3094319352819177</v>
      </c>
      <c r="E484" s="626">
        <f t="shared" si="55"/>
        <v>0.90874080448989725</v>
      </c>
      <c r="F484" s="597">
        <v>713</v>
      </c>
      <c r="G484" s="626">
        <f t="shared" si="52"/>
        <v>1.0977044473221917</v>
      </c>
      <c r="H484" s="172">
        <f t="shared" si="56"/>
        <v>0.94636948612961302</v>
      </c>
      <c r="I484" s="172">
        <f t="shared" si="57"/>
        <v>3.4485402275202417</v>
      </c>
      <c r="J484" s="626">
        <f t="shared" si="58"/>
        <v>1</v>
      </c>
      <c r="K484" s="597"/>
      <c r="L484" s="597"/>
      <c r="M484" s="598"/>
    </row>
    <row r="485" spans="1:13" x14ac:dyDescent="0.2">
      <c r="A485" s="12">
        <v>214</v>
      </c>
      <c r="B485" s="626">
        <f t="shared" si="51"/>
        <v>2.0036566493636299</v>
      </c>
      <c r="C485" s="172">
        <f t="shared" si="53"/>
        <v>3.1530908579925891</v>
      </c>
      <c r="D485" s="172">
        <f t="shared" si="54"/>
        <v>6.29467300995712</v>
      </c>
      <c r="E485" s="626">
        <f t="shared" si="55"/>
        <v>0.91021278730057764</v>
      </c>
      <c r="F485" s="597">
        <v>714</v>
      </c>
      <c r="G485" s="626">
        <f t="shared" si="52"/>
        <v>1.0969354773873126</v>
      </c>
      <c r="H485" s="172">
        <f t="shared" si="56"/>
        <v>0.94504403867004783</v>
      </c>
      <c r="I485" s="172">
        <f t="shared" si="57"/>
        <v>3.4461244372219939</v>
      </c>
      <c r="J485" s="626">
        <f t="shared" si="58"/>
        <v>1</v>
      </c>
      <c r="K485" s="597"/>
      <c r="L485" s="597"/>
      <c r="M485" s="598"/>
    </row>
    <row r="486" spans="1:13" x14ac:dyDescent="0.2">
      <c r="A486" s="12">
        <v>215</v>
      </c>
      <c r="B486" s="626">
        <f t="shared" si="51"/>
        <v>1.9989915518829418</v>
      </c>
      <c r="C486" s="172">
        <f t="shared" si="53"/>
        <v>3.1384253191182054</v>
      </c>
      <c r="D486" s="172">
        <f t="shared" si="54"/>
        <v>6.2800171739835093</v>
      </c>
      <c r="E486" s="626">
        <f t="shared" si="55"/>
        <v>0.91168477011125815</v>
      </c>
      <c r="F486" s="597">
        <v>715</v>
      </c>
      <c r="G486" s="626">
        <f t="shared" si="52"/>
        <v>1.0961681212406638</v>
      </c>
      <c r="H486" s="172">
        <f t="shared" si="56"/>
        <v>0.94372229875582392</v>
      </c>
      <c r="I486" s="172">
        <f t="shared" si="57"/>
        <v>3.4437137167889951</v>
      </c>
      <c r="J486" s="626">
        <f t="shared" si="58"/>
        <v>1</v>
      </c>
      <c r="K486" s="597"/>
      <c r="L486" s="597"/>
      <c r="M486" s="598"/>
    </row>
    <row r="487" spans="1:13" x14ac:dyDescent="0.2">
      <c r="A487" s="12">
        <v>216</v>
      </c>
      <c r="B487" s="626">
        <f t="shared" si="51"/>
        <v>1.9943588885247812</v>
      </c>
      <c r="C487" s="172">
        <f t="shared" si="53"/>
        <v>3.123895572270436</v>
      </c>
      <c r="D487" s="172">
        <f t="shared" si="54"/>
        <v>6.2654632328109576</v>
      </c>
      <c r="E487" s="626">
        <f t="shared" si="55"/>
        <v>0.91315675292193854</v>
      </c>
      <c r="F487" s="597">
        <v>716</v>
      </c>
      <c r="G487" s="626">
        <f t="shared" si="52"/>
        <v>1.0954023732455405</v>
      </c>
      <c r="H487" s="172">
        <f t="shared" si="56"/>
        <v>0.94240425085253388</v>
      </c>
      <c r="I487" s="172">
        <f t="shared" si="57"/>
        <v>3.4413080485130143</v>
      </c>
      <c r="J487" s="626">
        <f t="shared" si="58"/>
        <v>1</v>
      </c>
      <c r="K487" s="597"/>
      <c r="L487" s="597"/>
      <c r="M487" s="598"/>
    </row>
    <row r="488" spans="1:13" x14ac:dyDescent="0.2">
      <c r="A488" s="12">
        <v>217</v>
      </c>
      <c r="B488" s="626">
        <f t="shared" si="51"/>
        <v>1.9897582851919882</v>
      </c>
      <c r="C488" s="172">
        <f t="shared" si="53"/>
        <v>3.1094997401401576</v>
      </c>
      <c r="D488" s="172">
        <f t="shared" si="54"/>
        <v>6.2510100111785745</v>
      </c>
      <c r="E488" s="626">
        <f t="shared" si="55"/>
        <v>0.91462873573261905</v>
      </c>
      <c r="F488" s="597">
        <v>717</v>
      </c>
      <c r="G488" s="626">
        <f t="shared" si="52"/>
        <v>1.0946382277927622</v>
      </c>
      <c r="H488" s="172">
        <f t="shared" si="56"/>
        <v>0.94108987951243295</v>
      </c>
      <c r="I488" s="172">
        <f t="shared" si="57"/>
        <v>3.4389074147722924</v>
      </c>
      <c r="J488" s="626">
        <f t="shared" si="58"/>
        <v>1</v>
      </c>
      <c r="K488" s="597"/>
      <c r="L488" s="597"/>
      <c r="M488" s="598"/>
    </row>
    <row r="489" spans="1:13" x14ac:dyDescent="0.2">
      <c r="A489" s="12">
        <v>218</v>
      </c>
      <c r="B489" s="626">
        <f t="shared" si="51"/>
        <v>1.9851893738004689</v>
      </c>
      <c r="C489" s="172">
        <f t="shared" si="53"/>
        <v>3.095235979864285</v>
      </c>
      <c r="D489" s="172">
        <f t="shared" si="54"/>
        <v>6.236656352716075</v>
      </c>
      <c r="E489" s="626">
        <f t="shared" si="55"/>
        <v>0.91610071854329944</v>
      </c>
      <c r="F489" s="597">
        <v>718</v>
      </c>
      <c r="G489" s="626">
        <f t="shared" si="52"/>
        <v>1.0938756793005009</v>
      </c>
      <c r="H489" s="172">
        <f t="shared" si="56"/>
        <v>0.93977916937383588</v>
      </c>
      <c r="I489" s="172">
        <f t="shared" si="57"/>
        <v>3.436511798030998</v>
      </c>
      <c r="J489" s="626">
        <f t="shared" si="58"/>
        <v>1</v>
      </c>
      <c r="K489" s="597"/>
      <c r="L489" s="597"/>
      <c r="M489" s="598"/>
    </row>
    <row r="490" spans="1:13" x14ac:dyDescent="0.2">
      <c r="A490" s="12">
        <v>219</v>
      </c>
      <c r="B490" s="626">
        <f t="shared" si="51"/>
        <v>1.9806517921554989</v>
      </c>
      <c r="C490" s="172">
        <f t="shared" si="53"/>
        <v>3.0811024822393343</v>
      </c>
      <c r="D490" s="172">
        <f t="shared" si="54"/>
        <v>6.2224011195551734</v>
      </c>
      <c r="E490" s="626">
        <f t="shared" si="55"/>
        <v>0.91757270135397984</v>
      </c>
      <c r="F490" s="597">
        <v>719</v>
      </c>
      <c r="G490" s="626">
        <f t="shared" si="52"/>
        <v>1.09311472221411</v>
      </c>
      <c r="H490" s="172">
        <f t="shared" si="56"/>
        <v>0.93847210516052049</v>
      </c>
      <c r="I490" s="172">
        <f t="shared" si="57"/>
        <v>3.4341211808386953</v>
      </c>
      <c r="J490" s="626">
        <f t="shared" si="58"/>
        <v>1</v>
      </c>
      <c r="K490" s="597"/>
      <c r="L490" s="597"/>
      <c r="M490" s="598"/>
    </row>
    <row r="491" spans="1:13" x14ac:dyDescent="0.2">
      <c r="A491" s="12">
        <v>220</v>
      </c>
      <c r="B491" s="626">
        <f t="shared" si="51"/>
        <v>1.9761451838311201</v>
      </c>
      <c r="C491" s="172">
        <f t="shared" si="53"/>
        <v>3.067097470956428</v>
      </c>
      <c r="D491" s="172">
        <f t="shared" si="54"/>
        <v>6.2082431919506984</v>
      </c>
      <c r="E491" s="626">
        <f t="shared" si="55"/>
        <v>0.91904468416466023</v>
      </c>
      <c r="F491" s="597">
        <v>720</v>
      </c>
      <c r="G491" s="626">
        <f t="shared" si="52"/>
        <v>1.0923553510059536</v>
      </c>
      <c r="H491" s="172">
        <f t="shared" si="56"/>
        <v>0.93716867168113083</v>
      </c>
      <c r="I491" s="172">
        <f t="shared" si="57"/>
        <v>3.4317355458298038</v>
      </c>
      <c r="J491" s="626">
        <f t="shared" si="58"/>
        <v>1</v>
      </c>
      <c r="K491" s="597"/>
      <c r="L491" s="597"/>
      <c r="M491" s="598"/>
    </row>
    <row r="492" spans="1:13" x14ac:dyDescent="0.2">
      <c r="A492" s="12">
        <v>221</v>
      </c>
      <c r="B492" s="626">
        <f t="shared" si="51"/>
        <v>1.9716691980525443</v>
      </c>
      <c r="C492" s="172">
        <f t="shared" si="53"/>
        <v>3.0532192018570781</v>
      </c>
      <c r="D492" s="172">
        <f t="shared" si="54"/>
        <v>6.194181467911152</v>
      </c>
      <c r="E492" s="626">
        <f t="shared" si="55"/>
        <v>0.92051666697534074</v>
      </c>
      <c r="F492" s="597">
        <v>721</v>
      </c>
      <c r="G492" s="626">
        <f t="shared" si="52"/>
        <v>1.0915975601752388</v>
      </c>
      <c r="H492" s="172">
        <f t="shared" si="56"/>
        <v>0.93586885382859131</v>
      </c>
      <c r="I492" s="172">
        <f t="shared" si="57"/>
        <v>3.4293548757230723</v>
      </c>
      <c r="J492" s="626">
        <f t="shared" si="58"/>
        <v>1</v>
      </c>
      <c r="K492" s="597"/>
      <c r="L492" s="597"/>
      <c r="M492" s="598"/>
    </row>
    <row r="493" spans="1:13" x14ac:dyDescent="0.2">
      <c r="A493" s="12">
        <v>222</v>
      </c>
      <c r="B493" s="626">
        <f t="shared" si="51"/>
        <v>1.967223489581472</v>
      </c>
      <c r="C493" s="172">
        <f t="shared" si="53"/>
        <v>3.0394659622090732</v>
      </c>
      <c r="D493" s="172">
        <f t="shared" si="54"/>
        <v>6.1802148628384295</v>
      </c>
      <c r="E493" s="626">
        <f t="shared" si="55"/>
        <v>0.92198864978602124</v>
      </c>
      <c r="F493" s="597">
        <v>722</v>
      </c>
      <c r="G493" s="626">
        <f t="shared" si="52"/>
        <v>1.0908413442478471</v>
      </c>
      <c r="H493" s="172">
        <f t="shared" si="56"/>
        <v>0.93457263657952094</v>
      </c>
      <c r="I493" s="172">
        <f t="shared" si="57"/>
        <v>3.4269791533210507</v>
      </c>
      <c r="J493" s="626">
        <f t="shared" si="58"/>
        <v>1</v>
      </c>
      <c r="K493" s="597"/>
      <c r="L493" s="597"/>
      <c r="M493" s="598"/>
    </row>
    <row r="494" spans="1:13" x14ac:dyDescent="0.2">
      <c r="A494" s="12">
        <v>223</v>
      </c>
      <c r="B494" s="626">
        <f t="shared" si="51"/>
        <v>1.9628077186042445</v>
      </c>
      <c r="C494" s="172">
        <f t="shared" si="53"/>
        <v>3.0258360700018576</v>
      </c>
      <c r="D494" s="172">
        <f t="shared" si="54"/>
        <v>6.1663423091764367</v>
      </c>
      <c r="E494" s="626">
        <f t="shared" si="55"/>
        <v>0.92346063259670164</v>
      </c>
      <c r="F494" s="597">
        <v>723</v>
      </c>
      <c r="G494" s="626">
        <f t="shared" si="52"/>
        <v>1.0900866977761698</v>
      </c>
      <c r="H494" s="172">
        <f t="shared" si="56"/>
        <v>0.93328000499365737</v>
      </c>
      <c r="I494" s="172">
        <f t="shared" si="57"/>
        <v>3.4246083615095722</v>
      </c>
      <c r="J494" s="626">
        <f t="shared" si="58"/>
        <v>1</v>
      </c>
      <c r="K494" s="597"/>
      <c r="L494" s="597"/>
      <c r="M494" s="598"/>
    </row>
    <row r="495" spans="1:13" x14ac:dyDescent="0.2">
      <c r="A495" s="12">
        <v>224</v>
      </c>
      <c r="B495" s="626">
        <f t="shared" si="51"/>
        <v>1.958421550622744</v>
      </c>
      <c r="C495" s="172">
        <f t="shared" si="53"/>
        <v>3.0123278732607774</v>
      </c>
      <c r="D495" s="172">
        <f t="shared" si="54"/>
        <v>6.1525627560683436</v>
      </c>
      <c r="E495" s="626">
        <f t="shared" si="55"/>
        <v>0.92493261540738203</v>
      </c>
      <c r="F495" s="597">
        <v>724</v>
      </c>
      <c r="G495" s="626">
        <f t="shared" si="52"/>
        <v>1.0893336153389421</v>
      </c>
      <c r="H495" s="172">
        <f t="shared" si="56"/>
        <v>0.93199094421327944</v>
      </c>
      <c r="I495" s="172">
        <f t="shared" si="57"/>
        <v>3.42224248325723</v>
      </c>
      <c r="J495" s="626">
        <f t="shared" si="58"/>
        <v>1</v>
      </c>
      <c r="K495" s="597"/>
      <c r="L495" s="597"/>
      <c r="M495" s="598"/>
    </row>
    <row r="496" spans="1:13" x14ac:dyDescent="0.2">
      <c r="A496" s="12">
        <v>225</v>
      </c>
      <c r="B496" s="626">
        <f t="shared" si="51"/>
        <v>1.9540646563479647</v>
      </c>
      <c r="C496" s="172">
        <f t="shared" si="53"/>
        <v>2.9989397493796193</v>
      </c>
      <c r="D496" s="172">
        <f t="shared" si="54"/>
        <v>6.1388751690222296</v>
      </c>
      <c r="E496" s="626">
        <f t="shared" si="55"/>
        <v>0.92640459821806243</v>
      </c>
      <c r="F496" s="597">
        <v>725</v>
      </c>
      <c r="G496" s="626">
        <f t="shared" si="52"/>
        <v>1.0885820915410798</v>
      </c>
      <c r="H496" s="172">
        <f t="shared" si="56"/>
        <v>0.93070543946264028</v>
      </c>
      <c r="I496" s="172">
        <f t="shared" si="57"/>
        <v>3.419881501614868</v>
      </c>
      <c r="J496" s="626">
        <f t="shared" si="58"/>
        <v>1</v>
      </c>
      <c r="K496" s="597"/>
      <c r="L496" s="597"/>
      <c r="M496" s="598"/>
    </row>
    <row r="497" spans="1:13" x14ac:dyDescent="0.2">
      <c r="A497" s="12">
        <v>226</v>
      </c>
      <c r="B497" s="626">
        <f t="shared" si="51"/>
        <v>1.9497367115961741</v>
      </c>
      <c r="C497" s="172">
        <f t="shared" si="53"/>
        <v>2.9856701044708593</v>
      </c>
      <c r="D497" s="172">
        <f t="shared" si="54"/>
        <v>6.125278529584862</v>
      </c>
      <c r="E497" s="626">
        <f t="shared" si="55"/>
        <v>0.92787658102874293</v>
      </c>
      <c r="F497" s="597">
        <v>726</v>
      </c>
      <c r="G497" s="626">
        <f t="shared" si="52"/>
        <v>1.0878321210135171</v>
      </c>
      <c r="H497" s="172">
        <f t="shared" si="56"/>
        <v>0.92942347604740261</v>
      </c>
      <c r="I497" s="172">
        <f t="shared" si="57"/>
        <v>3.4175253997150681</v>
      </c>
      <c r="J497" s="626">
        <f t="shared" si="58"/>
        <v>1</v>
      </c>
      <c r="K497" s="597"/>
      <c r="L497" s="597"/>
      <c r="M497" s="598"/>
    </row>
    <row r="498" spans="1:13" x14ac:dyDescent="0.2">
      <c r="A498" s="12">
        <v>227</v>
      </c>
      <c r="B498" s="626">
        <f t="shared" si="51"/>
        <v>1.9454373971875982</v>
      </c>
      <c r="C498" s="172">
        <f t="shared" si="53"/>
        <v>2.972517372733102</v>
      </c>
      <c r="D498" s="172">
        <f t="shared" si="54"/>
        <v>6.1117718350234069</v>
      </c>
      <c r="E498" s="626">
        <f t="shared" si="55"/>
        <v>0.92934856383942333</v>
      </c>
      <c r="F498" s="597">
        <v>727</v>
      </c>
      <c r="G498" s="626">
        <f t="shared" si="52"/>
        <v>1.0870836984130454</v>
      </c>
      <c r="H498" s="172">
        <f t="shared" si="56"/>
        <v>0.92814503935407722</v>
      </c>
      <c r="I498" s="172">
        <f t="shared" si="57"/>
        <v>3.4151741607716457</v>
      </c>
      <c r="J498" s="626">
        <f t="shared" si="58"/>
        <v>1</v>
      </c>
      <c r="K498" s="597"/>
      <c r="L498" s="597"/>
      <c r="M498" s="598"/>
    </row>
    <row r="499" spans="1:13" x14ac:dyDescent="0.2">
      <c r="A499" s="12">
        <v>228</v>
      </c>
      <c r="B499" s="626">
        <f t="shared" si="51"/>
        <v>1.9411663988475483</v>
      </c>
      <c r="C499" s="172">
        <f t="shared" si="53"/>
        <v>2.9594800158351502</v>
      </c>
      <c r="D499" s="172">
        <f t="shared" si="54"/>
        <v>6.0983540980148119</v>
      </c>
      <c r="E499" s="626">
        <f t="shared" si="55"/>
        <v>0.93082054665010383</v>
      </c>
      <c r="F499" s="597">
        <v>728</v>
      </c>
      <c r="G499" s="626">
        <f t="shared" si="52"/>
        <v>1.0863368184221536</v>
      </c>
      <c r="H499" s="172">
        <f t="shared" si="56"/>
        <v>0.92687011484946991</v>
      </c>
      <c r="I499" s="172">
        <f t="shared" si="57"/>
        <v>3.4128277680791466</v>
      </c>
      <c r="J499" s="626">
        <f t="shared" si="58"/>
        <v>1</v>
      </c>
      <c r="K499" s="597"/>
      <c r="L499" s="597"/>
      <c r="M499" s="598"/>
    </row>
    <row r="500" spans="1:13" x14ac:dyDescent="0.2">
      <c r="A500" s="12">
        <v>229</v>
      </c>
      <c r="B500" s="626">
        <f t="shared" si="51"/>
        <v>1.9369234071099268</v>
      </c>
      <c r="C500" s="172">
        <f t="shared" si="53"/>
        <v>2.9465565223162193</v>
      </c>
      <c r="D500" s="172">
        <f t="shared" si="54"/>
        <v>6.0850243463426583</v>
      </c>
      <c r="E500" s="626">
        <f t="shared" si="55"/>
        <v>0.93229252946078423</v>
      </c>
      <c r="F500" s="597">
        <v>729</v>
      </c>
      <c r="G500" s="626">
        <f t="shared" si="52"/>
        <v>1.0855914757488692</v>
      </c>
      <c r="H500" s="172">
        <f t="shared" si="56"/>
        <v>0.92559868808012913</v>
      </c>
      <c r="I500" s="172">
        <f t="shared" si="57"/>
        <v>3.4104862050123494</v>
      </c>
      <c r="J500" s="626">
        <f t="shared" si="58"/>
        <v>1</v>
      </c>
      <c r="K500" s="597"/>
      <c r="L500" s="597"/>
      <c r="M500" s="598"/>
    </row>
    <row r="501" spans="1:13" x14ac:dyDescent="0.2">
      <c r="A501" s="12">
        <v>230</v>
      </c>
      <c r="B501" s="626">
        <f t="shared" si="51"/>
        <v>1.9327081172230451</v>
      </c>
      <c r="C501" s="172">
        <f t="shared" si="53"/>
        <v>2.9337454070018012</v>
      </c>
      <c r="D501" s="172">
        <f t="shared" si="54"/>
        <v>6.0717816226012795</v>
      </c>
      <c r="E501" s="626">
        <f t="shared" si="55"/>
        <v>0.93376451227146462</v>
      </c>
      <c r="F501" s="597">
        <v>730</v>
      </c>
      <c r="G501" s="626">
        <f t="shared" si="52"/>
        <v>1.0848476651266006</v>
      </c>
      <c r="H501" s="172">
        <f t="shared" si="56"/>
        <v>0.92433074467180032</v>
      </c>
      <c r="I501" s="172">
        <f t="shared" si="57"/>
        <v>3.4081494550257685</v>
      </c>
      <c r="J501" s="626">
        <f t="shared" si="58"/>
        <v>1</v>
      </c>
      <c r="K501" s="597"/>
      <c r="L501" s="597"/>
      <c r="M501" s="598"/>
    </row>
    <row r="502" spans="1:13" x14ac:dyDescent="0.2">
      <c r="A502" s="12">
        <v>231</v>
      </c>
      <c r="B502" s="626">
        <f t="shared" si="51"/>
        <v>1.9285202290576826</v>
      </c>
      <c r="C502" s="172">
        <f t="shared" si="53"/>
        <v>2.9210452104346931</v>
      </c>
      <c r="D502" s="172">
        <f t="shared" si="54"/>
        <v>6.0586249839069204</v>
      </c>
      <c r="E502" s="626">
        <f t="shared" si="55"/>
        <v>0.93523649508214501</v>
      </c>
      <c r="F502" s="597">
        <v>731</v>
      </c>
      <c r="G502" s="626">
        <f t="shared" si="52"/>
        <v>1.0841053813139814</v>
      </c>
      <c r="H502" s="172">
        <f t="shared" si="56"/>
        <v>0.923066270328884</v>
      </c>
      <c r="I502" s="172">
        <f t="shared" si="57"/>
        <v>3.4058175016531651</v>
      </c>
      <c r="J502" s="626">
        <f t="shared" si="58"/>
        <v>1</v>
      </c>
      <c r="K502" s="597"/>
      <c r="L502" s="597"/>
      <c r="M502" s="598"/>
    </row>
    <row r="503" spans="1:13" x14ac:dyDescent="0.2">
      <c r="A503" s="12">
        <v>232</v>
      </c>
      <c r="B503" s="626">
        <f t="shared" si="51"/>
        <v>1.9243594470173313</v>
      </c>
      <c r="C503" s="172">
        <f t="shared" si="53"/>
        <v>2.9084544983207508</v>
      </c>
      <c r="D503" s="172">
        <f t="shared" si="54"/>
        <v>6.0455535016157649</v>
      </c>
      <c r="E503" s="626">
        <f t="shared" si="55"/>
        <v>0.93670847789282552</v>
      </c>
      <c r="F503" s="597">
        <v>732</v>
      </c>
      <c r="G503" s="626">
        <f t="shared" si="52"/>
        <v>1.0833646190947146</v>
      </c>
      <c r="H503" s="172">
        <f t="shared" si="56"/>
        <v>0.92180525083389897</v>
      </c>
      <c r="I503" s="172">
        <f t="shared" si="57"/>
        <v>3.4034903285070599</v>
      </c>
      <c r="J503" s="626">
        <f t="shared" si="58"/>
        <v>1</v>
      </c>
      <c r="K503" s="597"/>
      <c r="L503" s="597"/>
      <c r="M503" s="598"/>
    </row>
    <row r="504" spans="1:13" x14ac:dyDescent="0.2">
      <c r="A504" s="12">
        <v>233</v>
      </c>
      <c r="B504" s="626">
        <f t="shared" si="51"/>
        <v>1.9202254799505583</v>
      </c>
      <c r="C504" s="172">
        <f t="shared" si="53"/>
        <v>2.8959718609889022</v>
      </c>
      <c r="D504" s="172">
        <f t="shared" si="54"/>
        <v>6.0325662610486086</v>
      </c>
      <c r="E504" s="626">
        <f t="shared" si="55"/>
        <v>0.93818046070350603</v>
      </c>
      <c r="F504" s="597">
        <v>733</v>
      </c>
      <c r="G504" s="626">
        <f t="shared" si="52"/>
        <v>1.0826253732774196</v>
      </c>
      <c r="H504" s="172">
        <f t="shared" si="56"/>
        <v>0.92054767204694976</v>
      </c>
      <c r="I504" s="172">
        <f t="shared" si="57"/>
        <v>3.4011679192782487</v>
      </c>
      <c r="J504" s="626">
        <f t="shared" si="58"/>
        <v>1</v>
      </c>
      <c r="K504" s="597"/>
      <c r="L504" s="597"/>
      <c r="M504" s="598"/>
    </row>
    <row r="505" spans="1:13" x14ac:dyDescent="0.2">
      <c r="A505" s="12">
        <v>234</v>
      </c>
      <c r="B505" s="626">
        <f t="shared" si="51"/>
        <v>1.9161180410654328</v>
      </c>
      <c r="C505" s="172">
        <f t="shared" si="53"/>
        <v>2.8835959128650184</v>
      </c>
      <c r="D505" s="172">
        <f t="shared" si="54"/>
        <v>6.0196623612220295</v>
      </c>
      <c r="E505" s="626">
        <f t="shared" si="55"/>
        <v>0.93965244351418642</v>
      </c>
      <c r="F505" s="597">
        <v>734</v>
      </c>
      <c r="G505" s="626">
        <f t="shared" si="52"/>
        <v>1.0818876386954783</v>
      </c>
      <c r="H505" s="172">
        <f t="shared" si="56"/>
        <v>0.91929351990519659</v>
      </c>
      <c r="I505" s="172">
        <f t="shared" si="57"/>
        <v>3.3988502577353232</v>
      </c>
      <c r="J505" s="626">
        <f t="shared" si="58"/>
        <v>1</v>
      </c>
      <c r="K505" s="597"/>
      <c r="L505" s="597"/>
      <c r="M505" s="598"/>
    </row>
    <row r="506" spans="1:13" x14ac:dyDescent="0.2">
      <c r="A506" s="12">
        <v>235</v>
      </c>
      <c r="B506" s="626">
        <f t="shared" si="51"/>
        <v>1.9120368478459566</v>
      </c>
      <c r="C506" s="172">
        <f t="shared" si="53"/>
        <v>2.8713252919592094</v>
      </c>
      <c r="D506" s="172">
        <f t="shared" si="54"/>
        <v>6.0068409145858421</v>
      </c>
      <c r="E506" s="626">
        <f t="shared" si="55"/>
        <v>0.94112442632486681</v>
      </c>
      <c r="F506" s="597">
        <v>735</v>
      </c>
      <c r="G506" s="626">
        <f t="shared" si="52"/>
        <v>1.0811514102068838</v>
      </c>
      <c r="H506" s="172">
        <f t="shared" si="56"/>
        <v>0.91804278042233245</v>
      </c>
      <c r="I506" s="172">
        <f t="shared" si="57"/>
        <v>3.3965373277241908</v>
      </c>
      <c r="J506" s="626">
        <f t="shared" si="58"/>
        <v>1</v>
      </c>
      <c r="K506" s="597"/>
      <c r="L506" s="597"/>
      <c r="M506" s="598"/>
    </row>
    <row r="507" spans="1:13" x14ac:dyDescent="0.2">
      <c r="A507" s="12">
        <v>236</v>
      </c>
      <c r="B507" s="626">
        <f t="shared" si="51"/>
        <v>1.9079816219704451</v>
      </c>
      <c r="C507" s="172">
        <f t="shared" si="53"/>
        <v>2.859158659366162</v>
      </c>
      <c r="D507" s="172">
        <f t="shared" si="54"/>
        <v>5.994101046766688</v>
      </c>
      <c r="E507" s="626">
        <f t="shared" si="55"/>
        <v>0.94259640913554721</v>
      </c>
      <c r="F507" s="597">
        <v>736</v>
      </c>
      <c r="G507" s="626">
        <f t="shared" si="52"/>
        <v>1.0804166826940902</v>
      </c>
      <c r="H507" s="172">
        <f t="shared" si="56"/>
        <v>0.91679543968806265</v>
      </c>
      <c r="I507" s="172">
        <f t="shared" si="57"/>
        <v>3.3942291131676083</v>
      </c>
      <c r="J507" s="626">
        <f t="shared" si="58"/>
        <v>1</v>
      </c>
      <c r="K507" s="597"/>
      <c r="L507" s="597"/>
      <c r="M507" s="598"/>
    </row>
    <row r="508" spans="1:13" x14ac:dyDescent="0.2">
      <c r="A508" s="12">
        <v>237</v>
      </c>
      <c r="B508" s="626">
        <f t="shared" si="51"/>
        <v>1.9039520892318029</v>
      </c>
      <c r="C508" s="172">
        <f t="shared" si="53"/>
        <v>2.8470946987781187</v>
      </c>
      <c r="D508" s="172">
        <f t="shared" si="54"/>
        <v>5.9814418963175706</v>
      </c>
      <c r="E508" s="626">
        <f t="shared" si="55"/>
        <v>0.94406839194622771</v>
      </c>
      <c r="F508" s="597">
        <v>737</v>
      </c>
      <c r="G508" s="626">
        <f t="shared" si="52"/>
        <v>1.0796834510638633</v>
      </c>
      <c r="H508" s="172">
        <f t="shared" si="56"/>
        <v>0.91555148386759055</v>
      </c>
      <c r="I508" s="172">
        <f t="shared" si="57"/>
        <v>3.3919255980647081</v>
      </c>
      <c r="J508" s="626">
        <f t="shared" si="58"/>
        <v>1</v>
      </c>
      <c r="K508" s="597"/>
      <c r="L508" s="597"/>
      <c r="M508" s="598"/>
    </row>
    <row r="509" spans="1:13" x14ac:dyDescent="0.2">
      <c r="A509" s="12">
        <v>238</v>
      </c>
      <c r="B509" s="626">
        <f t="shared" si="51"/>
        <v>1.8999479794596468</v>
      </c>
      <c r="C509" s="172">
        <f t="shared" si="53"/>
        <v>2.8351321160101439</v>
      </c>
      <c r="D509" s="172">
        <f t="shared" si="54"/>
        <v>5.9688626144731973</v>
      </c>
      <c r="E509" s="626">
        <f t="shared" si="55"/>
        <v>0.94554037475690822</v>
      </c>
      <c r="F509" s="597">
        <v>738</v>
      </c>
      <c r="G509" s="626">
        <f t="shared" si="52"/>
        <v>1.0789517102471315</v>
      </c>
      <c r="H509" s="172">
        <f t="shared" si="56"/>
        <v>0.91431089920110331</v>
      </c>
      <c r="I509" s="172">
        <f t="shared" si="57"/>
        <v>3.3896267664905317</v>
      </c>
      <c r="J509" s="626">
        <f t="shared" si="58"/>
        <v>1</v>
      </c>
      <c r="K509" s="597"/>
      <c r="L509" s="597"/>
      <c r="M509" s="598"/>
    </row>
    <row r="510" spans="1:13" x14ac:dyDescent="0.2">
      <c r="A510" s="12">
        <v>239</v>
      </c>
      <c r="B510" s="626">
        <f t="shared" si="51"/>
        <v>1.8959690264442184</v>
      </c>
      <c r="C510" s="172">
        <f t="shared" si="53"/>
        <v>2.8232696385372984</v>
      </c>
      <c r="D510" s="172">
        <f t="shared" si="54"/>
        <v>5.9563623649109489</v>
      </c>
      <c r="E510" s="626">
        <f t="shared" si="55"/>
        <v>0.94701235756758861</v>
      </c>
      <c r="F510" s="597">
        <v>739</v>
      </c>
      <c r="G510" s="626">
        <f t="shared" si="52"/>
        <v>1.0782214551988394</v>
      </c>
      <c r="H510" s="172">
        <f t="shared" si="56"/>
        <v>0.91307367200326683</v>
      </c>
      <c r="I510" s="172">
        <f t="shared" si="57"/>
        <v>3.3873326025955701</v>
      </c>
      <c r="J510" s="626">
        <f t="shared" si="58"/>
        <v>1</v>
      </c>
      <c r="K510" s="597"/>
      <c r="L510" s="597"/>
      <c r="M510" s="598"/>
    </row>
    <row r="511" spans="1:13" x14ac:dyDescent="0.2">
      <c r="A511" s="12">
        <v>240</v>
      </c>
      <c r="B511" s="626">
        <f t="shared" si="51"/>
        <v>1.8920149678620466</v>
      </c>
      <c r="C511" s="172">
        <f t="shared" si="53"/>
        <v>2.8115060150433928</v>
      </c>
      <c r="D511" s="172">
        <f t="shared" si="54"/>
        <v>5.9439403235173343</v>
      </c>
      <c r="E511" s="626">
        <f t="shared" si="55"/>
        <v>0.94848434037826901</v>
      </c>
      <c r="F511" s="597">
        <v>740</v>
      </c>
      <c r="G511" s="626">
        <f t="shared" si="52"/>
        <v>1.0774926808978014</v>
      </c>
      <c r="H511" s="172">
        <f t="shared" si="56"/>
        <v>0.91183978866272208</v>
      </c>
      <c r="I511" s="172">
        <f t="shared" si="57"/>
        <v>3.3850430906053042</v>
      </c>
      <c r="J511" s="626">
        <f t="shared" si="58"/>
        <v>1</v>
      </c>
      <c r="K511" s="597"/>
      <c r="L511" s="597"/>
      <c r="M511" s="598"/>
    </row>
    <row r="512" spans="1:13" x14ac:dyDescent="0.2">
      <c r="A512" s="12">
        <v>241</v>
      </c>
      <c r="B512" s="626">
        <f t="shared" si="51"/>
        <v>1.8880855452033056</v>
      </c>
      <c r="C512" s="172">
        <f t="shared" si="53"/>
        <v>2.7998400149809717</v>
      </c>
      <c r="D512" s="172">
        <f t="shared" si="54"/>
        <v>5.9315956781597841</v>
      </c>
      <c r="E512" s="626">
        <f t="shared" si="55"/>
        <v>0.9499563231889494</v>
      </c>
      <c r="F512" s="597">
        <v>741</v>
      </c>
      <c r="G512" s="626">
        <f t="shared" si="52"/>
        <v>1.0767653823465564</v>
      </c>
      <c r="H512" s="172">
        <f t="shared" si="56"/>
        <v>0.91060923564158469</v>
      </c>
      <c r="I512" s="172">
        <f t="shared" si="57"/>
        <v>3.3827582148197464</v>
      </c>
      <c r="J512" s="626">
        <f t="shared" si="58"/>
        <v>1</v>
      </c>
      <c r="K512" s="597"/>
      <c r="L512" s="597"/>
      <c r="M512" s="598"/>
    </row>
    <row r="513" spans="1:13" x14ac:dyDescent="0.2">
      <c r="A513" s="12">
        <v>242</v>
      </c>
      <c r="B513" s="626">
        <f t="shared" si="51"/>
        <v>1.8841805037008268</v>
      </c>
      <c r="C513" s="172">
        <f t="shared" si="53"/>
        <v>2.7882704281422073</v>
      </c>
      <c r="D513" s="172">
        <f t="shared" si="54"/>
        <v>5.9193276284636331</v>
      </c>
      <c r="E513" s="626">
        <f t="shared" si="55"/>
        <v>0.95142830599962991</v>
      </c>
      <c r="F513" s="597">
        <v>742</v>
      </c>
      <c r="G513" s="626">
        <f t="shared" si="52"/>
        <v>1.0760395545712247</v>
      </c>
      <c r="H513" s="172">
        <f t="shared" si="56"/>
        <v>0.9093819994749518</v>
      </c>
      <c r="I513" s="172">
        <f t="shared" si="57"/>
        <v>3.3804779596129926</v>
      </c>
      <c r="J513" s="626">
        <f t="shared" si="58"/>
        <v>1</v>
      </c>
      <c r="K513" s="597"/>
      <c r="L513" s="597"/>
      <c r="M513" s="598"/>
    </row>
    <row r="514" spans="1:13" x14ac:dyDescent="0.2">
      <c r="A514" s="12">
        <v>243</v>
      </c>
      <c r="B514" s="626">
        <f t="shared" si="51"/>
        <v>1.8802995922607182</v>
      </c>
      <c r="C514" s="172">
        <f t="shared" si="53"/>
        <v>2.7767960642403877</v>
      </c>
      <c r="D514" s="172">
        <f t="shared" si="54"/>
        <v>5.907135385594156</v>
      </c>
      <c r="E514" s="626">
        <f t="shared" si="55"/>
        <v>0.9529002888103103</v>
      </c>
      <c r="F514" s="597">
        <v>743</v>
      </c>
      <c r="G514" s="626">
        <f t="shared" si="52"/>
        <v>1.0753151926213642</v>
      </c>
      <c r="H514" s="172">
        <f t="shared" si="56"/>
        <v>0.90815806677040933</v>
      </c>
      <c r="I514" s="172">
        <f t="shared" si="57"/>
        <v>3.3782023094327713</v>
      </c>
      <c r="J514" s="626">
        <f t="shared" si="58"/>
        <v>1</v>
      </c>
      <c r="K514" s="597"/>
      <c r="L514" s="597"/>
      <c r="M514" s="598"/>
    </row>
    <row r="515" spans="1:13" x14ac:dyDescent="0.2">
      <c r="A515" s="12">
        <v>244</v>
      </c>
      <c r="B515" s="626">
        <f t="shared" si="51"/>
        <v>1.8764425633945498</v>
      </c>
      <c r="C515" s="172">
        <f t="shared" si="53"/>
        <v>2.7654157525016978</v>
      </c>
      <c r="D515" s="172">
        <f t="shared" si="54"/>
        <v>5.8950181720435175</v>
      </c>
      <c r="E515" s="626">
        <f t="shared" si="55"/>
        <v>0.95437227162099081</v>
      </c>
      <c r="F515" s="597">
        <v>744</v>
      </c>
      <c r="G515" s="626">
        <f t="shared" si="52"/>
        <v>1.0745922915698294</v>
      </c>
      <c r="H515" s="172">
        <f t="shared" si="56"/>
        <v>0.90693742420754619</v>
      </c>
      <c r="I515" s="172">
        <f t="shared" si="57"/>
        <v>3.3759312487999971</v>
      </c>
      <c r="J515" s="626">
        <f t="shared" si="58"/>
        <v>1</v>
      </c>
      <c r="K515" s="597"/>
      <c r="L515" s="597"/>
      <c r="M515" s="598"/>
    </row>
    <row r="516" spans="1:13" x14ac:dyDescent="0.2">
      <c r="A516" s="12">
        <v>245</v>
      </c>
      <c r="B516" s="626">
        <f t="shared" si="51"/>
        <v>1.8726091731530634</v>
      </c>
      <c r="C516" s="172">
        <f t="shared" si="53"/>
        <v>2.7541283412669966</v>
      </c>
      <c r="D516" s="172">
        <f t="shared" si="54"/>
        <v>5.8829752214225213</v>
      </c>
      <c r="E516" s="626">
        <f t="shared" si="55"/>
        <v>0.9558442544316712</v>
      </c>
      <c r="F516" s="597">
        <v>745</v>
      </c>
      <c r="G516" s="626">
        <f t="shared" si="52"/>
        <v>1.0738708465126297</v>
      </c>
      <c r="H516" s="172">
        <f t="shared" si="56"/>
        <v>0.90572005853746895</v>
      </c>
      <c r="I516" s="172">
        <f t="shared" si="57"/>
        <v>3.3736647623083296</v>
      </c>
      <c r="J516" s="626">
        <f t="shared" si="58"/>
        <v>1</v>
      </c>
      <c r="K516" s="597"/>
      <c r="L516" s="597"/>
      <c r="M516" s="598"/>
    </row>
    <row r="517" spans="1:13" x14ac:dyDescent="0.2">
      <c r="A517" s="12">
        <v>246</v>
      </c>
      <c r="B517" s="626">
        <f t="shared" si="51"/>
        <v>1.8687991810613653</v>
      </c>
      <c r="C517" s="172">
        <f t="shared" si="53"/>
        <v>2.7429326976033095</v>
      </c>
      <c r="D517" s="172">
        <f t="shared" si="54"/>
        <v>5.8710057782570066</v>
      </c>
      <c r="E517" s="626">
        <f t="shared" si="55"/>
        <v>0.9573162372423516</v>
      </c>
      <c r="F517" s="597">
        <v>746</v>
      </c>
      <c r="G517" s="626">
        <f t="shared" si="52"/>
        <v>1.0731508525687905</v>
      </c>
      <c r="H517" s="172">
        <f t="shared" si="56"/>
        <v>0.90450595658232469</v>
      </c>
      <c r="I517" s="172">
        <f t="shared" si="57"/>
        <v>3.3714028346237352</v>
      </c>
      <c r="J517" s="626">
        <f t="shared" si="58"/>
        <v>1</v>
      </c>
      <c r="K517" s="597"/>
      <c r="L517" s="597"/>
      <c r="M517" s="598"/>
    </row>
    <row r="518" spans="1:13" x14ac:dyDescent="0.2">
      <c r="A518" s="12">
        <v>247</v>
      </c>
      <c r="B518" s="626">
        <f t="shared" si="51"/>
        <v>1.865012350055564</v>
      </c>
      <c r="C518" s="172">
        <f t="shared" si="53"/>
        <v>2.7318277069247543</v>
      </c>
      <c r="D518" s="172">
        <f t="shared" si="54"/>
        <v>5.859109097788795</v>
      </c>
      <c r="E518" s="626">
        <f t="shared" si="55"/>
        <v>0.95878822005303199</v>
      </c>
      <c r="F518" s="597">
        <v>747</v>
      </c>
      <c r="G518" s="626">
        <f t="shared" si="52"/>
        <v>1.0724323048802145</v>
      </c>
      <c r="H518" s="172">
        <f t="shared" si="56"/>
        <v>0.90329510523482492</v>
      </c>
      <c r="I518" s="172">
        <f t="shared" si="57"/>
        <v>3.369145450484051</v>
      </c>
      <c r="J518" s="626">
        <f t="shared" si="58"/>
        <v>1</v>
      </c>
      <c r="K518" s="597"/>
      <c r="L518" s="597"/>
      <c r="M518" s="598"/>
    </row>
    <row r="519" spans="1:13" x14ac:dyDescent="0.2">
      <c r="A519" s="12">
        <v>248</v>
      </c>
      <c r="B519" s="626">
        <f t="shared" si="51"/>
        <v>1.8612484464208132</v>
      </c>
      <c r="C519" s="172">
        <f t="shared" si="53"/>
        <v>2.7208122726226378</v>
      </c>
      <c r="D519" s="172">
        <f t="shared" si="54"/>
        <v>5.8472844457810425</v>
      </c>
      <c r="E519" s="626">
        <f t="shared" si="55"/>
        <v>0.9602602028637125</v>
      </c>
      <c r="F519" s="597">
        <v>748</v>
      </c>
      <c r="G519" s="626">
        <f t="shared" si="52"/>
        <v>1.0717151986115434</v>
      </c>
      <c r="H519" s="172">
        <f t="shared" si="56"/>
        <v>0.90208749145777301</v>
      </c>
      <c r="I519" s="172">
        <f t="shared" si="57"/>
        <v>3.3668925946985508</v>
      </c>
      <c r="J519" s="626">
        <f t="shared" si="58"/>
        <v>1</v>
      </c>
      <c r="K519" s="597"/>
      <c r="L519" s="597"/>
      <c r="M519" s="598"/>
    </row>
    <row r="520" spans="1:13" x14ac:dyDescent="0.2">
      <c r="A520" s="12">
        <v>249</v>
      </c>
      <c r="B520" s="626">
        <f t="shared" si="51"/>
        <v>1.857507239730728</v>
      </c>
      <c r="C520" s="172">
        <f t="shared" si="53"/>
        <v>2.7098853157044744</v>
      </c>
      <c r="D520" s="172">
        <f t="shared" si="54"/>
        <v>5.8355310983279098</v>
      </c>
      <c r="E520" s="626">
        <f t="shared" si="55"/>
        <v>0.961732185674393</v>
      </c>
      <c r="F520" s="597">
        <v>749</v>
      </c>
      <c r="G520" s="626">
        <f t="shared" si="52"/>
        <v>1.0709995289500216</v>
      </c>
      <c r="H520" s="172">
        <f t="shared" si="56"/>
        <v>0.90088310228359703</v>
      </c>
      <c r="I520" s="172">
        <f t="shared" si="57"/>
        <v>3.3646442521475168</v>
      </c>
      <c r="J520" s="626">
        <f t="shared" si="58"/>
        <v>1</v>
      </c>
      <c r="K520" s="597"/>
      <c r="L520" s="597"/>
      <c r="M520" s="598"/>
    </row>
    <row r="521" spans="1:13" x14ac:dyDescent="0.2">
      <c r="A521" s="12">
        <v>250</v>
      </c>
      <c r="B521" s="626">
        <f t="shared" si="51"/>
        <v>1.8537885027881309</v>
      </c>
      <c r="C521" s="172">
        <f t="shared" si="53"/>
        <v>2.6990457744416569</v>
      </c>
      <c r="D521" s="172">
        <f t="shared" si="54"/>
        <v>5.8238483416684135</v>
      </c>
      <c r="E521" s="626">
        <f t="shared" si="55"/>
        <v>0.9632041684850734</v>
      </c>
      <c r="F521" s="597">
        <v>750</v>
      </c>
      <c r="G521" s="626">
        <f t="shared" si="52"/>
        <v>1.0702852911053606</v>
      </c>
      <c r="H521" s="172">
        <f t="shared" si="56"/>
        <v>0.89968192481388565</v>
      </c>
      <c r="I521" s="172">
        <f t="shared" si="57"/>
        <v>3.3624004077818141</v>
      </c>
      <c r="J521" s="626">
        <f t="shared" si="58"/>
        <v>1</v>
      </c>
      <c r="K521" s="597"/>
      <c r="L521" s="597"/>
      <c r="M521" s="598"/>
    </row>
    <row r="522" spans="1:13" x14ac:dyDescent="0.2">
      <c r="A522" s="12">
        <v>251</v>
      </c>
      <c r="B522" s="626">
        <f t="shared" si="51"/>
        <v>1.8500920115671009</v>
      </c>
      <c r="C522" s="172">
        <f t="shared" si="53"/>
        <v>2.6882926040255541</v>
      </c>
      <c r="D522" s="172">
        <f t="shared" si="54"/>
        <v>5.8122354720043665</v>
      </c>
      <c r="E522" s="626">
        <f t="shared" si="55"/>
        <v>0.96467615129575379</v>
      </c>
      <c r="F522" s="597">
        <v>751</v>
      </c>
      <c r="G522" s="626">
        <f t="shared" si="52"/>
        <v>1.0695724803096045</v>
      </c>
      <c r="H522" s="172">
        <f t="shared" si="56"/>
        <v>0.89848394621892724</v>
      </c>
      <c r="I522" s="172">
        <f t="shared" si="57"/>
        <v>3.360161046622467</v>
      </c>
      <c r="J522" s="626">
        <f t="shared" si="58"/>
        <v>1</v>
      </c>
      <c r="K522" s="597"/>
      <c r="L522" s="597"/>
      <c r="M522" s="598"/>
    </row>
    <row r="523" spans="1:13" x14ac:dyDescent="0.2">
      <c r="A523" s="12">
        <v>252</v>
      </c>
      <c r="B523" s="626">
        <f t="shared" si="51"/>
        <v>1.8464175451562879</v>
      </c>
      <c r="C523" s="172">
        <f t="shared" si="53"/>
        <v>2.6776247762318026</v>
      </c>
      <c r="D523" s="172">
        <f t="shared" si="54"/>
        <v>5.8006917953222938</v>
      </c>
      <c r="E523" s="626">
        <f t="shared" si="55"/>
        <v>0.96614813410643419</v>
      </c>
      <c r="F523" s="597">
        <v>752</v>
      </c>
      <c r="G523" s="626">
        <f t="shared" si="52"/>
        <v>1.0688610918169954</v>
      </c>
      <c r="H523" s="172">
        <f t="shared" si="56"/>
        <v>0.89728915373725293</v>
      </c>
      <c r="I523" s="172">
        <f t="shared" si="57"/>
        <v>3.3579261537602383</v>
      </c>
      <c r="J523" s="626">
        <f t="shared" si="58"/>
        <v>1</v>
      </c>
      <c r="K523" s="597"/>
      <c r="L523" s="597"/>
      <c r="M523" s="598"/>
    </row>
    <row r="524" spans="1:13" x14ac:dyDescent="0.2">
      <c r="A524" s="12">
        <v>253</v>
      </c>
      <c r="B524" s="626">
        <f t="shared" si="51"/>
        <v>1.8427648857034582</v>
      </c>
      <c r="C524" s="172">
        <f t="shared" si="53"/>
        <v>2.6670412790925457</v>
      </c>
      <c r="D524" s="172">
        <f t="shared" si="54"/>
        <v>5.7892166272192194</v>
      </c>
      <c r="E524" s="626">
        <f t="shared" si="55"/>
        <v>0.96762011691711469</v>
      </c>
      <c r="F524" s="597">
        <v>753</v>
      </c>
      <c r="G524" s="626">
        <f t="shared" si="52"/>
        <v>1.0681511209038419</v>
      </c>
      <c r="H524" s="172">
        <f t="shared" si="56"/>
        <v>0.89609753467518471</v>
      </c>
      <c r="I524" s="172">
        <f t="shared" si="57"/>
        <v>3.3556957143552126</v>
      </c>
      <c r="J524" s="626">
        <f t="shared" si="58"/>
        <v>1</v>
      </c>
      <c r="K524" s="597"/>
      <c r="L524" s="597"/>
      <c r="M524" s="598"/>
    </row>
    <row r="525" spans="1:13" x14ac:dyDescent="0.2">
      <c r="A525" s="12">
        <v>254</v>
      </c>
      <c r="B525" s="626">
        <f t="shared" si="51"/>
        <v>1.8391338183612467</v>
      </c>
      <c r="C525" s="172">
        <f t="shared" si="53"/>
        <v>2.6565411165764337</v>
      </c>
      <c r="D525" s="172">
        <f t="shared" si="54"/>
        <v>5.7778092927322371</v>
      </c>
      <c r="E525" s="626">
        <f t="shared" si="55"/>
        <v>0.9690920997277952</v>
      </c>
      <c r="F525" s="597">
        <v>754</v>
      </c>
      <c r="G525" s="626">
        <f t="shared" si="52"/>
        <v>1.067442562868387</v>
      </c>
      <c r="H525" s="172">
        <f t="shared" si="56"/>
        <v>0.89490907640638484</v>
      </c>
      <c r="I525" s="172">
        <f t="shared" si="57"/>
        <v>3.3534697136363856</v>
      </c>
      <c r="J525" s="626">
        <f t="shared" si="58"/>
        <v>1</v>
      </c>
      <c r="K525" s="597"/>
      <c r="L525" s="597"/>
      <c r="M525" s="598"/>
    </row>
    <row r="526" spans="1:13" x14ac:dyDescent="0.2">
      <c r="A526" s="12">
        <v>255</v>
      </c>
      <c r="B526" s="626">
        <f t="shared" si="51"/>
        <v>1.8355241312340755</v>
      </c>
      <c r="C526" s="172">
        <f t="shared" si="53"/>
        <v>2.6461233082761342</v>
      </c>
      <c r="D526" s="172">
        <f t="shared" si="54"/>
        <v>5.7664691261717591</v>
      </c>
      <c r="E526" s="626">
        <f t="shared" si="55"/>
        <v>0.97056408253847559</v>
      </c>
      <c r="F526" s="597">
        <v>755</v>
      </c>
      <c r="G526" s="626">
        <f t="shared" si="52"/>
        <v>1.0667354130306768</v>
      </c>
      <c r="H526" s="172">
        <f t="shared" si="56"/>
        <v>0.89372376637140971</v>
      </c>
      <c r="I526" s="172">
        <f t="shared" si="57"/>
        <v>3.3512481369012477</v>
      </c>
      <c r="J526" s="626">
        <f t="shared" si="58"/>
        <v>1</v>
      </c>
      <c r="K526" s="597"/>
      <c r="L526" s="597"/>
      <c r="M526" s="598"/>
    </row>
    <row r="527" spans="1:13" x14ac:dyDescent="0.2">
      <c r="A527" s="12">
        <v>256</v>
      </c>
      <c r="B527" s="626">
        <f t="shared" si="51"/>
        <v>1.8319356153262167</v>
      </c>
      <c r="C527" s="172">
        <f t="shared" si="53"/>
        <v>2.6357868891031804</v>
      </c>
      <c r="D527" s="172">
        <f t="shared" si="54"/>
        <v>5.7551954709583395</v>
      </c>
      <c r="E527" s="626">
        <f t="shared" si="55"/>
        <v>0.97203606534915599</v>
      </c>
      <c r="F527" s="597">
        <v>756</v>
      </c>
      <c r="G527" s="626">
        <f t="shared" si="52"/>
        <v>1.0660296667324307</v>
      </c>
      <c r="H527" s="172">
        <f t="shared" si="56"/>
        <v>0.89254159207726735</v>
      </c>
      <c r="I527" s="172">
        <f t="shared" si="57"/>
        <v>3.3490309695153799</v>
      </c>
      <c r="J527" s="626">
        <f t="shared" si="58"/>
        <v>1</v>
      </c>
      <c r="K527" s="597"/>
      <c r="L527" s="597"/>
      <c r="M527" s="598"/>
    </row>
    <row r="528" spans="1:13" x14ac:dyDescent="0.2">
      <c r="A528" s="12">
        <v>257</v>
      </c>
      <c r="B528" s="626">
        <f t="shared" ref="B528:B591" si="59">SQRT(PI()*$I$266*$I$264/SQRT(3)/A528)</f>
        <v>1.8283680644909677</v>
      </c>
      <c r="C528" s="172">
        <f t="shared" si="53"/>
        <v>2.6255309089899384</v>
      </c>
      <c r="D528" s="172">
        <f t="shared" si="54"/>
        <v>5.7439876794630127</v>
      </c>
      <c r="E528" s="626">
        <f t="shared" si="55"/>
        <v>0.97350804815983638</v>
      </c>
      <c r="F528" s="597">
        <v>757</v>
      </c>
      <c r="G528" s="626">
        <f t="shared" ref="G528:G591" si="60">SQRT(PI()*$I$266*$I$264/SQRT(3)/F528)</f>
        <v>1.0653253193369137</v>
      </c>
      <c r="H528" s="172">
        <f t="shared" si="56"/>
        <v>0.89136254109698032</v>
      </c>
      <c r="I528" s="172">
        <f t="shared" si="57"/>
        <v>3.3468181969120483</v>
      </c>
      <c r="J528" s="626">
        <f t="shared" si="58"/>
        <v>1</v>
      </c>
      <c r="K528" s="597"/>
      <c r="L528" s="597"/>
      <c r="M528" s="598"/>
    </row>
    <row r="529" spans="1:13" x14ac:dyDescent="0.2">
      <c r="A529" s="12">
        <v>258</v>
      </c>
      <c r="B529" s="626">
        <f t="shared" si="59"/>
        <v>1.8248212753809097</v>
      </c>
      <c r="C529" s="172">
        <f t="shared" ref="C529:C592" si="61">PI()*B529^2/4</f>
        <v>2.6153544325985045</v>
      </c>
      <c r="D529" s="172">
        <f t="shared" ref="D529:D592" si="62">PI()*B529</f>
        <v>5.7328451128510229</v>
      </c>
      <c r="E529" s="626">
        <f t="shared" ref="E529:E592" si="63">IF(A529&lt;=$C$265,(D529*$I$265/PI()^2/C529)*SQRT(A529/$B$265),IF(A529&lt;$B$265,($C$270-$B$270)/($C$265-$B$265)*A529+($C$265*$B$270-$B$265*$C$270)/($C$265-$B$265),IF(A529=$B$265,0.45*SQRT(D529/$I$265),IF(A529&lt;$D$265,($B$270-$D$270)/($B$265-$D$265)*A529+($B$265*$D$270-$D$265*$B$270)/($B$265-$D$265),1))))</f>
        <v>0.97498003097051678</v>
      </c>
      <c r="F529" s="597">
        <v>758</v>
      </c>
      <c r="G529" s="626">
        <f t="shared" si="60"/>
        <v>1.064622366228807</v>
      </c>
      <c r="H529" s="172">
        <f t="shared" si="56"/>
        <v>0.89018660106914815</v>
      </c>
      <c r="I529" s="172">
        <f t="shared" si="57"/>
        <v>3.3446098045918022</v>
      </c>
      <c r="J529" s="626">
        <f t="shared" si="58"/>
        <v>1</v>
      </c>
      <c r="K529" s="597"/>
      <c r="L529" s="597"/>
      <c r="M529" s="598"/>
    </row>
    <row r="530" spans="1:13" x14ac:dyDescent="0.2">
      <c r="A530" s="12">
        <v>259</v>
      </c>
      <c r="B530" s="626">
        <f t="shared" si="59"/>
        <v>1.8212950473992251</v>
      </c>
      <c r="C530" s="172">
        <f t="shared" si="61"/>
        <v>2.6052565390363482</v>
      </c>
      <c r="D530" s="172">
        <f t="shared" si="62"/>
        <v>5.7217671409288799</v>
      </c>
      <c r="E530" s="626">
        <f t="shared" si="63"/>
        <v>0.97645201378119728</v>
      </c>
      <c r="F530" s="597">
        <v>759</v>
      </c>
      <c r="G530" s="626">
        <f t="shared" si="60"/>
        <v>1.0639208028140816</v>
      </c>
      <c r="H530" s="172">
        <f t="shared" si="56"/>
        <v>0.88901375969751539</v>
      </c>
      <c r="I530" s="172">
        <f t="shared" si="57"/>
        <v>3.3424057781220737</v>
      </c>
      <c r="J530" s="626">
        <f t="shared" si="58"/>
        <v>1</v>
      </c>
      <c r="K530" s="597"/>
      <c r="L530" s="597"/>
      <c r="M530" s="598"/>
    </row>
    <row r="531" spans="1:13" x14ac:dyDescent="0.2">
      <c r="A531" s="12">
        <v>260</v>
      </c>
      <c r="B531" s="626">
        <f t="shared" si="59"/>
        <v>1.8177891826520447</v>
      </c>
      <c r="C531" s="172">
        <f t="shared" si="61"/>
        <v>2.5952363215785161</v>
      </c>
      <c r="D531" s="172">
        <f t="shared" si="62"/>
        <v>5.7107531419946582</v>
      </c>
      <c r="E531" s="626">
        <f t="shared" si="63"/>
        <v>0.97792399659187779</v>
      </c>
      <c r="F531" s="597">
        <v>760</v>
      </c>
      <c r="G531" s="626">
        <f t="shared" si="60"/>
        <v>1.0632206245198725</v>
      </c>
      <c r="H531" s="172">
        <f t="shared" si="56"/>
        <v>0.88784400475054515</v>
      </c>
      <c r="I531" s="172">
        <f t="shared" si="57"/>
        <v>3.3402061031367833</v>
      </c>
      <c r="J531" s="626">
        <f t="shared" si="58"/>
        <v>1</v>
      </c>
      <c r="K531" s="597"/>
      <c r="L531" s="597"/>
      <c r="M531" s="598"/>
    </row>
    <row r="532" spans="1:13" x14ac:dyDescent="0.2">
      <c r="A532" s="12">
        <v>261</v>
      </c>
      <c r="B532" s="626">
        <f t="shared" si="59"/>
        <v>1.8143034859017997</v>
      </c>
      <c r="C532" s="172">
        <f t="shared" si="61"/>
        <v>2.5852928873962235</v>
      </c>
      <c r="D532" s="172">
        <f t="shared" si="62"/>
        <v>5.6998025026914467</v>
      </c>
      <c r="E532" s="626">
        <f t="shared" si="63"/>
        <v>0.97939597940255818</v>
      </c>
      <c r="F532" s="597">
        <v>761</v>
      </c>
      <c r="G532" s="626">
        <f t="shared" si="60"/>
        <v>1.0625218267943528</v>
      </c>
      <c r="H532" s="172">
        <f t="shared" si="56"/>
        <v>0.88667732406099098</v>
      </c>
      <c r="I532" s="172">
        <f t="shared" si="57"/>
        <v>3.3380107653359454</v>
      </c>
      <c r="J532" s="626">
        <f t="shared" si="58"/>
        <v>1</v>
      </c>
      <c r="K532" s="597"/>
      <c r="L532" s="597"/>
      <c r="M532" s="598"/>
    </row>
    <row r="533" spans="1:13" x14ac:dyDescent="0.2">
      <c r="A533" s="12">
        <v>262</v>
      </c>
      <c r="B533" s="626">
        <f t="shared" si="59"/>
        <v>1.8108377645215552</v>
      </c>
      <c r="C533" s="172">
        <f t="shared" si="61"/>
        <v>2.5754253572916572</v>
      </c>
      <c r="D533" s="172">
        <f t="shared" si="62"/>
        <v>5.6889146178638814</v>
      </c>
      <c r="E533" s="626">
        <f t="shared" si="63"/>
        <v>0.98086796221323858</v>
      </c>
      <c r="F533" s="597">
        <v>762</v>
      </c>
      <c r="G533" s="626">
        <f t="shared" si="60"/>
        <v>1.0618244051066101</v>
      </c>
      <c r="H533" s="172">
        <f t="shared" si="56"/>
        <v>0.88551370552547803</v>
      </c>
      <c r="I533" s="172">
        <f t="shared" si="57"/>
        <v>3.3358197504852787</v>
      </c>
      <c r="J533" s="626">
        <f t="shared" si="58"/>
        <v>1</v>
      </c>
      <c r="K533" s="597"/>
      <c r="L533" s="597"/>
      <c r="M533" s="598"/>
    </row>
    <row r="534" spans="1:13" x14ac:dyDescent="0.2">
      <c r="A534" s="12">
        <v>263</v>
      </c>
      <c r="B534" s="626">
        <f t="shared" si="59"/>
        <v>1.8073918284502994</v>
      </c>
      <c r="C534" s="172">
        <f t="shared" si="61"/>
        <v>2.5656328654388378</v>
      </c>
      <c r="D534" s="172">
        <f t="shared" si="62"/>
        <v>5.6780888904176843</v>
      </c>
      <c r="E534" s="626">
        <f t="shared" si="63"/>
        <v>0.98233994502391897</v>
      </c>
      <c r="F534" s="597">
        <v>763</v>
      </c>
      <c r="G534" s="626">
        <f t="shared" si="60"/>
        <v>1.0611283549465229</v>
      </c>
      <c r="H534" s="172">
        <f t="shared" si="56"/>
        <v>0.88435313710408159</v>
      </c>
      <c r="I534" s="172">
        <f t="shared" si="57"/>
        <v>3.3336330444158189</v>
      </c>
      <c r="J534" s="626">
        <f t="shared" si="58"/>
        <v>1</v>
      </c>
      <c r="K534" s="597"/>
      <c r="L534" s="597"/>
      <c r="M534" s="598"/>
    </row>
    <row r="535" spans="1:13" x14ac:dyDescent="0.2">
      <c r="A535" s="12">
        <v>264</v>
      </c>
      <c r="B535" s="626">
        <f t="shared" si="59"/>
        <v>1.8039654901491631</v>
      </c>
      <c r="C535" s="172">
        <f t="shared" si="61"/>
        <v>2.5559145591303571</v>
      </c>
      <c r="D535" s="172">
        <f t="shared" si="62"/>
        <v>5.6673247311821209</v>
      </c>
      <c r="E535" s="626">
        <f t="shared" si="63"/>
        <v>0.98381192783459948</v>
      </c>
      <c r="F535" s="597">
        <v>764</v>
      </c>
      <c r="G535" s="626">
        <f t="shared" si="60"/>
        <v>1.0604336718246374</v>
      </c>
      <c r="H535" s="172">
        <f t="shared" si="56"/>
        <v>0.88319560681991371</v>
      </c>
      <c r="I535" s="172">
        <f t="shared" si="57"/>
        <v>3.3314506330235307</v>
      </c>
      <c r="J535" s="626">
        <f t="shared" si="58"/>
        <v>1</v>
      </c>
      <c r="K535" s="597"/>
      <c r="L535" s="597"/>
      <c r="M535" s="598"/>
    </row>
    <row r="536" spans="1:13" x14ac:dyDescent="0.2">
      <c r="A536" s="12">
        <v>265</v>
      </c>
      <c r="B536" s="626">
        <f t="shared" si="59"/>
        <v>1.8005585645585513</v>
      </c>
      <c r="C536" s="172">
        <f t="shared" si="61"/>
        <v>2.5462695985298649</v>
      </c>
      <c r="D536" s="172">
        <f t="shared" si="62"/>
        <v>5.6566215587753286</v>
      </c>
      <c r="E536" s="626">
        <f t="shared" si="63"/>
        <v>0.98528391064527998</v>
      </c>
      <c r="F536" s="597">
        <v>765</v>
      </c>
      <c r="G536" s="626">
        <f t="shared" si="60"/>
        <v>1.0597403512720476</v>
      </c>
      <c r="H536" s="172">
        <f t="shared" si="56"/>
        <v>0.88204110275871161</v>
      </c>
      <c r="I536" s="172">
        <f t="shared" si="57"/>
        <v>3.3292725022689313</v>
      </c>
      <c r="J536" s="626">
        <f t="shared" si="58"/>
        <v>1</v>
      </c>
      <c r="K536" s="597"/>
      <c r="L536" s="597"/>
      <c r="M536" s="598"/>
    </row>
    <row r="537" spans="1:13" x14ac:dyDescent="0.2">
      <c r="A537" s="12">
        <v>266</v>
      </c>
      <c r="B537" s="626">
        <f t="shared" si="59"/>
        <v>1.7971708690561616</v>
      </c>
      <c r="C537" s="172">
        <f t="shared" si="61"/>
        <v>2.5366971564301291</v>
      </c>
      <c r="D537" s="172">
        <f t="shared" si="62"/>
        <v>5.6459787994724211</v>
      </c>
      <c r="E537" s="626">
        <f t="shared" si="63"/>
        <v>0.98675589345596038</v>
      </c>
      <c r="F537" s="597">
        <v>766</v>
      </c>
      <c r="G537" s="626">
        <f t="shared" si="60"/>
        <v>1.0590483888402722</v>
      </c>
      <c r="H537" s="172">
        <f t="shared" si="56"/>
        <v>0.88088961306842606</v>
      </c>
      <c r="I537" s="172">
        <f t="shared" si="57"/>
        <v>3.3270986381767056</v>
      </c>
      <c r="J537" s="626">
        <f t="shared" si="58"/>
        <v>1</v>
      </c>
      <c r="K537" s="597"/>
      <c r="L537" s="597"/>
      <c r="M537" s="598"/>
    </row>
    <row r="538" spans="1:13" x14ac:dyDescent="0.2">
      <c r="A538" s="12">
        <v>267</v>
      </c>
      <c r="B538" s="626">
        <f t="shared" si="59"/>
        <v>1.7938022234158659</v>
      </c>
      <c r="C538" s="172">
        <f t="shared" si="61"/>
        <v>2.5271964180165325</v>
      </c>
      <c r="D538" s="172">
        <f t="shared" si="62"/>
        <v>5.6353958870763208</v>
      </c>
      <c r="E538" s="626">
        <f t="shared" si="63"/>
        <v>0.98822787626664077</v>
      </c>
      <c r="F538" s="597">
        <v>767</v>
      </c>
      <c r="G538" s="626">
        <f t="shared" si="60"/>
        <v>1.0583577801011368</v>
      </c>
      <c r="H538" s="172">
        <f t="shared" si="56"/>
        <v>0.87974112595881893</v>
      </c>
      <c r="I538" s="172">
        <f t="shared" si="57"/>
        <v>3.3249290268353331</v>
      </c>
      <c r="J538" s="626">
        <f t="shared" si="58"/>
        <v>1</v>
      </c>
      <c r="K538" s="597"/>
      <c r="L538" s="597"/>
      <c r="M538" s="598"/>
    </row>
    <row r="539" spans="1:13" x14ac:dyDescent="0.2">
      <c r="A539" s="12">
        <v>268</v>
      </c>
      <c r="B539" s="626">
        <f t="shared" si="59"/>
        <v>1.7904524497674401</v>
      </c>
      <c r="C539" s="172">
        <f t="shared" si="61"/>
        <v>2.517766580635874</v>
      </c>
      <c r="D539" s="172">
        <f t="shared" si="62"/>
        <v>5.6248722627912375</v>
      </c>
      <c r="E539" s="626">
        <f t="shared" si="63"/>
        <v>0.98969985907732116</v>
      </c>
      <c r="F539" s="597">
        <v>768</v>
      </c>
      <c r="G539" s="626">
        <f t="shared" si="60"/>
        <v>1.0576685206466541</v>
      </c>
      <c r="H539" s="172">
        <f t="shared" si="56"/>
        <v>0.87859562970106042</v>
      </c>
      <c r="I539" s="172">
        <f t="shared" si="57"/>
        <v>3.322763654396713</v>
      </c>
      <c r="J539" s="626">
        <f t="shared" si="58"/>
        <v>1</v>
      </c>
      <c r="K539" s="597"/>
      <c r="L539" s="597"/>
      <c r="M539" s="598"/>
    </row>
    <row r="540" spans="1:13" x14ac:dyDescent="0.2">
      <c r="A540" s="12">
        <v>269</v>
      </c>
      <c r="B540" s="626">
        <f t="shared" si="59"/>
        <v>1.7871213725571153</v>
      </c>
      <c r="C540" s="172">
        <f t="shared" si="61"/>
        <v>2.5084068535703135</v>
      </c>
      <c r="D540" s="172">
        <f t="shared" si="62"/>
        <v>5.6144073750987413</v>
      </c>
      <c r="E540" s="626">
        <f t="shared" si="63"/>
        <v>0.99117184188800167</v>
      </c>
      <c r="F540" s="597">
        <v>769</v>
      </c>
      <c r="G540" s="626">
        <f t="shared" si="60"/>
        <v>1.0569806060889051</v>
      </c>
      <c r="H540" s="172">
        <f t="shared" si="56"/>
        <v>0.87745311262732695</v>
      </c>
      <c r="I540" s="172">
        <f t="shared" si="57"/>
        <v>3.3206025070757912</v>
      </c>
      <c r="J540" s="626">
        <f t="shared" si="58"/>
        <v>1</v>
      </c>
      <c r="K540" s="597"/>
      <c r="L540" s="597"/>
      <c r="M540" s="598"/>
    </row>
    <row r="541" spans="1:13" x14ac:dyDescent="0.2">
      <c r="A541" s="12">
        <v>270</v>
      </c>
      <c r="B541" s="626">
        <f t="shared" si="59"/>
        <v>1.7838088185089345</v>
      </c>
      <c r="C541" s="172">
        <f t="shared" si="61"/>
        <v>2.4991164578163492</v>
      </c>
      <c r="D541" s="172">
        <f t="shared" si="62"/>
        <v>5.6040006796363571</v>
      </c>
      <c r="E541" s="626">
        <f t="shared" si="63"/>
        <v>0.99264382469868206</v>
      </c>
      <c r="F541" s="597">
        <v>770</v>
      </c>
      <c r="G541" s="626">
        <f t="shared" si="60"/>
        <v>1.0562940320599228</v>
      </c>
      <c r="H541" s="172">
        <f t="shared" ref="H541:H604" si="64">PI()*G541^2/4</f>
        <v>0.8763135631304082</v>
      </c>
      <c r="I541" s="172">
        <f t="shared" ref="I541:I604" si="65">PI()*G541</f>
        <v>3.3184455711501948</v>
      </c>
      <c r="J541" s="626">
        <f t="shared" ref="J541:J604" si="66">IF(F541&lt;=$C$265,(I541*$I$265/PI()^2/H541)*SQRT(F541/$B$265),IF(F541&lt;$B$265,($C$270-$B$270)/($C$265-$B$265)*F541+($C$265*$B$270-$B$265*$C$270)/($C$265-$B$265),IF(F541=$B$265,0.45*SQRT(I541/$I$265),IF(F541&lt;$D$265,($B$270-$D$270)/($B$265-$D$265)*F541+($B$265*$D$270-$D$265*$B$270)/($B$265-$D$265),1))))</f>
        <v>1</v>
      </c>
      <c r="K541" s="597"/>
      <c r="L541" s="597"/>
      <c r="M541" s="598"/>
    </row>
    <row r="542" spans="1:13" x14ac:dyDescent="0.2">
      <c r="A542" s="12">
        <v>271</v>
      </c>
      <c r="B542" s="626">
        <f t="shared" si="59"/>
        <v>1.7805146165868944</v>
      </c>
      <c r="C542" s="172">
        <f t="shared" si="61"/>
        <v>2.4898946258686872</v>
      </c>
      <c r="D542" s="172">
        <f t="shared" si="62"/>
        <v>5.5936516390786348</v>
      </c>
      <c r="E542" s="626">
        <f t="shared" si="63"/>
        <v>0.99411580750936257</v>
      </c>
      <c r="F542" s="597">
        <v>771</v>
      </c>
      <c r="G542" s="626">
        <f t="shared" si="60"/>
        <v>1.0556087942115753</v>
      </c>
      <c r="H542" s="172">
        <f t="shared" si="64"/>
        <v>0.87517696966331293</v>
      </c>
      <c r="I542" s="172">
        <f t="shared" si="65"/>
        <v>3.3162928329598644</v>
      </c>
      <c r="J542" s="626">
        <f t="shared" si="66"/>
        <v>1</v>
      </c>
      <c r="K542" s="597"/>
      <c r="L542" s="597"/>
      <c r="M542" s="598"/>
    </row>
    <row r="543" spans="1:13" x14ac:dyDescent="0.2">
      <c r="A543" s="12">
        <v>272</v>
      </c>
      <c r="B543" s="626">
        <f t="shared" si="59"/>
        <v>1.7772385979578529</v>
      </c>
      <c r="C543" s="172">
        <f t="shared" si="61"/>
        <v>2.4807406015088755</v>
      </c>
      <c r="D543" s="172">
        <f t="shared" si="62"/>
        <v>5.5833597230206147</v>
      </c>
      <c r="E543" s="626">
        <f t="shared" si="63"/>
        <v>0.99558779032004296</v>
      </c>
      <c r="F543" s="597">
        <v>772</v>
      </c>
      <c r="G543" s="626">
        <f t="shared" si="60"/>
        <v>1.0549248882154501</v>
      </c>
      <c r="H543" s="172">
        <f t="shared" si="64"/>
        <v>0.8740433207388788</v>
      </c>
      <c r="I543" s="172">
        <f t="shared" si="65"/>
        <v>3.3141442789066917</v>
      </c>
      <c r="J543" s="626">
        <f t="shared" si="66"/>
        <v>1</v>
      </c>
      <c r="K543" s="597"/>
      <c r="L543" s="597"/>
      <c r="M543" s="598"/>
    </row>
    <row r="544" spans="1:13" x14ac:dyDescent="0.2">
      <c r="A544" s="12">
        <v>273</v>
      </c>
      <c r="B544" s="626">
        <f t="shared" si="59"/>
        <v>1.7739805959551849</v>
      </c>
      <c r="C544" s="172">
        <f t="shared" si="61"/>
        <v>2.4716536395985869</v>
      </c>
      <c r="D544" s="172">
        <f t="shared" si="62"/>
        <v>5.5731244078636522</v>
      </c>
      <c r="E544" s="626">
        <f t="shared" si="63"/>
        <v>0.99705977313072336</v>
      </c>
      <c r="F544" s="597">
        <v>773</v>
      </c>
      <c r="G544" s="626">
        <f t="shared" si="60"/>
        <v>1.0542423097627387</v>
      </c>
      <c r="H544" s="172">
        <f t="shared" si="64"/>
        <v>0.87291260492938427</v>
      </c>
      <c r="I544" s="172">
        <f t="shared" si="65"/>
        <v>3.311999895454155</v>
      </c>
      <c r="J544" s="626">
        <f t="shared" si="66"/>
        <v>1</v>
      </c>
      <c r="K544" s="597"/>
      <c r="L544" s="597"/>
      <c r="M544" s="598"/>
    </row>
    <row r="545" spans="1:13" x14ac:dyDescent="0.2">
      <c r="A545" s="12">
        <v>274</v>
      </c>
      <c r="B545" s="626">
        <f t="shared" si="59"/>
        <v>1.7707404460431679</v>
      </c>
      <c r="C545" s="172">
        <f t="shared" si="61"/>
        <v>2.4626330058774246</v>
      </c>
      <c r="D545" s="172">
        <f t="shared" si="62"/>
        <v>5.5629451767035301</v>
      </c>
      <c r="E545" s="626">
        <f t="shared" si="63"/>
        <v>0.99853175594140375</v>
      </c>
      <c r="F545" s="597">
        <v>774</v>
      </c>
      <c r="G545" s="626">
        <f t="shared" si="60"/>
        <v>1.0535610545641245</v>
      </c>
      <c r="H545" s="172">
        <f t="shared" si="64"/>
        <v>0.87178481086616832</v>
      </c>
      <c r="I545" s="172">
        <f t="shared" si="65"/>
        <v>3.3098596691269688</v>
      </c>
      <c r="J545" s="626">
        <f t="shared" si="66"/>
        <v>1</v>
      </c>
      <c r="K545" s="597"/>
      <c r="L545" s="597"/>
      <c r="M545" s="598"/>
    </row>
    <row r="546" spans="1:13" x14ac:dyDescent="0.2">
      <c r="A546" s="12">
        <v>275</v>
      </c>
      <c r="B546" s="626">
        <f t="shared" si="59"/>
        <v>1.7675179857820813</v>
      </c>
      <c r="C546" s="172">
        <f t="shared" si="61"/>
        <v>2.4536779767651429</v>
      </c>
      <c r="D546" s="172">
        <f t="shared" si="62"/>
        <v>5.5528215192208155</v>
      </c>
      <c r="E546" s="626">
        <f t="shared" si="63"/>
        <v>1</v>
      </c>
      <c r="F546" s="597">
        <v>775</v>
      </c>
      <c r="G546" s="626">
        <f t="shared" si="60"/>
        <v>1.0528811183496669</v>
      </c>
      <c r="H546" s="172">
        <f t="shared" si="64"/>
        <v>0.87065992723924424</v>
      </c>
      <c r="I546" s="172">
        <f t="shared" si="65"/>
        <v>3.3077235865107193</v>
      </c>
      <c r="J546" s="626">
        <f t="shared" si="66"/>
        <v>1</v>
      </c>
      <c r="K546" s="597"/>
      <c r="L546" s="597"/>
      <c r="M546" s="598"/>
    </row>
    <row r="547" spans="1:13" x14ac:dyDescent="0.2">
      <c r="A547" s="12">
        <v>276</v>
      </c>
      <c r="B547" s="626">
        <f t="shared" si="59"/>
        <v>1.7643130547940011</v>
      </c>
      <c r="C547" s="172">
        <f t="shared" si="61"/>
        <v>2.4447878391681677</v>
      </c>
      <c r="D547" s="172">
        <f t="shared" si="62"/>
        <v>5.5427529315733999</v>
      </c>
      <c r="E547" s="626">
        <f t="shared" si="63"/>
        <v>1</v>
      </c>
      <c r="F547" s="597">
        <v>776</v>
      </c>
      <c r="G547" s="626">
        <f t="shared" si="60"/>
        <v>1.0522024968686909</v>
      </c>
      <c r="H547" s="172">
        <f t="shared" si="64"/>
        <v>0.86953794279692553</v>
      </c>
      <c r="I547" s="172">
        <f t="shared" si="65"/>
        <v>3.3055916342515168</v>
      </c>
      <c r="J547" s="626">
        <f t="shared" si="66"/>
        <v>1</v>
      </c>
      <c r="K547" s="597"/>
      <c r="L547" s="597"/>
      <c r="M547" s="598"/>
    </row>
    <row r="548" spans="1:13" x14ac:dyDescent="0.2">
      <c r="A548" s="12">
        <v>277</v>
      </c>
      <c r="B548" s="626">
        <f t="shared" si="59"/>
        <v>1.7611254947292749</v>
      </c>
      <c r="C548" s="172">
        <f t="shared" si="61"/>
        <v>2.435961890290304</v>
      </c>
      <c r="D548" s="172">
        <f t="shared" si="62"/>
        <v>5.53273891629118</v>
      </c>
      <c r="E548" s="626">
        <f t="shared" si="63"/>
        <v>1</v>
      </c>
      <c r="F548" s="597">
        <v>777</v>
      </c>
      <c r="G548" s="626">
        <f t="shared" si="60"/>
        <v>1.051525185889675</v>
      </c>
      <c r="H548" s="172">
        <f t="shared" si="64"/>
        <v>0.86841884634544975</v>
      </c>
      <c r="I548" s="172">
        <f t="shared" si="65"/>
        <v>3.3034637990556446</v>
      </c>
      <c r="J548" s="626">
        <f t="shared" si="66"/>
        <v>1</v>
      </c>
      <c r="K548" s="597"/>
      <c r="L548" s="597"/>
      <c r="M548" s="598"/>
    </row>
    <row r="549" spans="1:13" x14ac:dyDescent="0.2">
      <c r="A549" s="12">
        <v>278</v>
      </c>
      <c r="B549" s="626">
        <f t="shared" si="59"/>
        <v>1.7579551492336603</v>
      </c>
      <c r="C549" s="172">
        <f t="shared" si="61"/>
        <v>2.4271994374475336</v>
      </c>
      <c r="D549" s="172">
        <f t="shared" si="62"/>
        <v>5.5227789821728157</v>
      </c>
      <c r="E549" s="626">
        <f t="shared" si="63"/>
        <v>1</v>
      </c>
      <c r="F549" s="597">
        <v>778</v>
      </c>
      <c r="G549" s="626">
        <f t="shared" si="60"/>
        <v>1.0508491812001397</v>
      </c>
      <c r="H549" s="172">
        <f t="shared" si="64"/>
        <v>0.86730262674860459</v>
      </c>
      <c r="I549" s="172">
        <f t="shared" si="65"/>
        <v>3.3013400676892082</v>
      </c>
      <c r="J549" s="626">
        <f t="shared" si="66"/>
        <v>1</v>
      </c>
      <c r="K549" s="597"/>
      <c r="L549" s="597"/>
      <c r="M549" s="598"/>
    </row>
    <row r="550" spans="1:13" x14ac:dyDescent="0.2">
      <c r="A550" s="12">
        <v>279</v>
      </c>
      <c r="B550" s="626">
        <f t="shared" si="59"/>
        <v>1.7548018639161114</v>
      </c>
      <c r="C550" s="172">
        <f t="shared" si="61"/>
        <v>2.4184997978867893</v>
      </c>
      <c r="D550" s="172">
        <f t="shared" si="62"/>
        <v>5.5128726441845313</v>
      </c>
      <c r="E550" s="626">
        <f t="shared" si="63"/>
        <v>1</v>
      </c>
      <c r="F550" s="597">
        <v>779</v>
      </c>
      <c r="G550" s="626">
        <f t="shared" si="60"/>
        <v>1.0501744786065383</v>
      </c>
      <c r="H550" s="172">
        <f t="shared" si="64"/>
        <v>0.86618927292736103</v>
      </c>
      <c r="I550" s="172">
        <f t="shared" si="65"/>
        <v>3.2992204269777923</v>
      </c>
      <c r="J550" s="626">
        <f t="shared" si="66"/>
        <v>1</v>
      </c>
      <c r="K550" s="597"/>
      <c r="L550" s="597"/>
      <c r="M550" s="598"/>
    </row>
    <row r="551" spans="1:13" x14ac:dyDescent="0.2">
      <c r="A551" s="12">
        <v>280</v>
      </c>
      <c r="B551" s="626">
        <f t="shared" si="59"/>
        <v>1.7516654863172005</v>
      </c>
      <c r="C551" s="172">
        <f t="shared" si="61"/>
        <v>2.4098622986086222</v>
      </c>
      <c r="D551" s="172">
        <f t="shared" si="62"/>
        <v>5.5030194233609091</v>
      </c>
      <c r="E551" s="626">
        <f t="shared" si="63"/>
        <v>1</v>
      </c>
      <c r="F551" s="597">
        <v>780</v>
      </c>
      <c r="G551" s="626">
        <f t="shared" si="60"/>
        <v>1.0495010739341477</v>
      </c>
      <c r="H551" s="172">
        <f t="shared" si="64"/>
        <v>0.86507877385950538</v>
      </c>
      <c r="I551" s="172">
        <f t="shared" si="65"/>
        <v>3.2971048638061169</v>
      </c>
      <c r="J551" s="626">
        <f t="shared" si="66"/>
        <v>1</v>
      </c>
      <c r="K551" s="597"/>
      <c r="L551" s="597"/>
      <c r="M551" s="598"/>
    </row>
    <row r="552" spans="1:13" x14ac:dyDescent="0.2">
      <c r="A552" s="12">
        <v>281</v>
      </c>
      <c r="B552" s="626">
        <f t="shared" si="59"/>
        <v>1.7485458658781561</v>
      </c>
      <c r="C552" s="172">
        <f t="shared" si="61"/>
        <v>2.4012862761936447</v>
      </c>
      <c r="D552" s="172">
        <f t="shared" si="62"/>
        <v>5.4932188467076193</v>
      </c>
      <c r="E552" s="626">
        <f t="shared" si="63"/>
        <v>1</v>
      </c>
      <c r="F552" s="597">
        <v>781</v>
      </c>
      <c r="G552" s="626">
        <f t="shared" si="60"/>
        <v>1.0488289630269589</v>
      </c>
      <c r="H552" s="172">
        <f t="shared" si="64"/>
        <v>0.86397111857927544</v>
      </c>
      <c r="I552" s="172">
        <f t="shared" si="65"/>
        <v>3.294993365117695</v>
      </c>
      <c r="J552" s="626">
        <f t="shared" si="66"/>
        <v>1</v>
      </c>
      <c r="K552" s="597"/>
      <c r="L552" s="597"/>
      <c r="M552" s="598"/>
    </row>
    <row r="553" spans="1:13" x14ac:dyDescent="0.2">
      <c r="A553" s="12">
        <v>282</v>
      </c>
      <c r="B553" s="626">
        <f t="shared" si="59"/>
        <v>1.745442853910506</v>
      </c>
      <c r="C553" s="172">
        <f t="shared" si="61"/>
        <v>2.3927710766326746</v>
      </c>
      <c r="D553" s="172">
        <f t="shared" si="62"/>
        <v>5.4834704471060478</v>
      </c>
      <c r="E553" s="626">
        <f t="shared" si="63"/>
        <v>1</v>
      </c>
      <c r="F553" s="597">
        <v>782</v>
      </c>
      <c r="G553" s="626">
        <f t="shared" si="60"/>
        <v>1.0481581417475705</v>
      </c>
      <c r="H553" s="172">
        <f t="shared" si="64"/>
        <v>0.86286629617700039</v>
      </c>
      <c r="I553" s="172">
        <f t="shared" si="65"/>
        <v>3.2928859179144965</v>
      </c>
      <c r="J553" s="626">
        <f t="shared" si="66"/>
        <v>1</v>
      </c>
      <c r="K553" s="597"/>
      <c r="L553" s="597"/>
      <c r="M553" s="598"/>
    </row>
    <row r="554" spans="1:13" x14ac:dyDescent="0.2">
      <c r="A554" s="12">
        <v>283</v>
      </c>
      <c r="B554" s="626">
        <f t="shared" si="59"/>
        <v>1.7423563035663119</v>
      </c>
      <c r="C554" s="172">
        <f t="shared" si="61"/>
        <v>2.384316055160475</v>
      </c>
      <c r="D554" s="172">
        <f t="shared" si="62"/>
        <v>5.4737737632197927</v>
      </c>
      <c r="E554" s="626">
        <f t="shared" si="63"/>
        <v>1</v>
      </c>
      <c r="F554" s="597">
        <v>783</v>
      </c>
      <c r="G554" s="626">
        <f t="shared" si="60"/>
        <v>1.0474886059770803</v>
      </c>
      <c r="H554" s="172">
        <f t="shared" si="64"/>
        <v>0.86176429579874081</v>
      </c>
      <c r="I554" s="172">
        <f t="shared" si="65"/>
        <v>3.290782509256609</v>
      </c>
      <c r="J554" s="626">
        <f t="shared" si="66"/>
        <v>1</v>
      </c>
      <c r="K554" s="597"/>
      <c r="L554" s="597"/>
      <c r="M554" s="598"/>
    </row>
    <row r="555" spans="1:13" x14ac:dyDescent="0.2">
      <c r="A555" s="12">
        <v>284</v>
      </c>
      <c r="B555" s="626">
        <f t="shared" si="59"/>
        <v>1.7392860698089796</v>
      </c>
      <c r="C555" s="172">
        <f t="shared" si="61"/>
        <v>2.3759205760930073</v>
      </c>
      <c r="D555" s="172">
        <f t="shared" si="62"/>
        <v>5.4641283394029543</v>
      </c>
      <c r="E555" s="626">
        <f t="shared" si="63"/>
        <v>1</v>
      </c>
      <c r="F555" s="597">
        <v>784</v>
      </c>
      <c r="G555" s="626">
        <f t="shared" si="60"/>
        <v>1.046820351614981</v>
      </c>
      <c r="H555" s="172">
        <f t="shared" si="64"/>
        <v>0.86066510664593643</v>
      </c>
      <c r="I555" s="172">
        <f t="shared" si="65"/>
        <v>3.2886831262619083</v>
      </c>
      <c r="J555" s="626">
        <f t="shared" si="66"/>
        <v>1</v>
      </c>
      <c r="K555" s="597"/>
      <c r="L555" s="597"/>
      <c r="M555" s="598"/>
    </row>
    <row r="556" spans="1:13" x14ac:dyDescent="0.2">
      <c r="A556" s="12">
        <v>285</v>
      </c>
      <c r="B556" s="626">
        <f t="shared" si="59"/>
        <v>1.7362320093846348</v>
      </c>
      <c r="C556" s="172">
        <f t="shared" si="61"/>
        <v>2.3675840126681198</v>
      </c>
      <c r="D556" s="172">
        <f t="shared" si="62"/>
        <v>5.4545337256102133</v>
      </c>
      <c r="E556" s="626">
        <f t="shared" si="63"/>
        <v>1</v>
      </c>
      <c r="F556" s="597">
        <v>785</v>
      </c>
      <c r="G556" s="626">
        <f t="shared" si="60"/>
        <v>1.046153374579053</v>
      </c>
      <c r="H556" s="172">
        <f t="shared" si="64"/>
        <v>0.85956871797505019</v>
      </c>
      <c r="I556" s="172">
        <f t="shared" si="65"/>
        <v>3.2865877561057237</v>
      </c>
      <c r="J556" s="626">
        <f t="shared" si="66"/>
        <v>1</v>
      </c>
      <c r="K556" s="597"/>
      <c r="L556" s="597"/>
      <c r="M556" s="598"/>
    </row>
    <row r="557" spans="1:13" x14ac:dyDescent="0.2">
      <c r="A557" s="12">
        <v>286</v>
      </c>
      <c r="B557" s="626">
        <f t="shared" si="59"/>
        <v>1.7331939807940473</v>
      </c>
      <c r="C557" s="172">
        <f t="shared" si="61"/>
        <v>2.35930574688956</v>
      </c>
      <c r="D557" s="172">
        <f t="shared" si="62"/>
        <v>5.4449894773086278</v>
      </c>
      <c r="E557" s="626">
        <f t="shared" si="63"/>
        <v>1</v>
      </c>
      <c r="F557" s="597">
        <v>786</v>
      </c>
      <c r="G557" s="626">
        <f t="shared" si="60"/>
        <v>1.0454876708052601</v>
      </c>
      <c r="H557" s="172">
        <f t="shared" si="64"/>
        <v>0.85847511909721919</v>
      </c>
      <c r="I557" s="172">
        <f t="shared" si="65"/>
        <v>3.2844963860205092</v>
      </c>
      <c r="J557" s="626">
        <f t="shared" si="66"/>
        <v>1</v>
      </c>
      <c r="K557" s="597"/>
      <c r="L557" s="597"/>
      <c r="M557" s="598"/>
    </row>
    <row r="558" spans="1:13" x14ac:dyDescent="0.2">
      <c r="A558" s="12">
        <v>287</v>
      </c>
      <c r="B558" s="626">
        <f t="shared" si="59"/>
        <v>1.7301718442650957</v>
      </c>
      <c r="C558" s="172">
        <f t="shared" si="61"/>
        <v>2.3510851693742656</v>
      </c>
      <c r="D558" s="172">
        <f t="shared" si="62"/>
        <v>5.4354951553911288</v>
      </c>
      <c r="E558" s="626">
        <f t="shared" si="63"/>
        <v>1</v>
      </c>
      <c r="F558" s="597">
        <v>787</v>
      </c>
      <c r="G558" s="626">
        <f t="shared" si="60"/>
        <v>1.0448232362476464</v>
      </c>
      <c r="H558" s="172">
        <f t="shared" si="64"/>
        <v>0.85738429937790883</v>
      </c>
      <c r="I558" s="172">
        <f t="shared" si="65"/>
        <v>3.2824090032955189</v>
      </c>
      <c r="J558" s="626">
        <f t="shared" si="66"/>
        <v>1</v>
      </c>
      <c r="K558" s="597"/>
      <c r="L558" s="597"/>
      <c r="M558" s="598"/>
    </row>
    <row r="559" spans="1:13" x14ac:dyDescent="0.2">
      <c r="A559" s="12">
        <v>288</v>
      </c>
      <c r="B559" s="626">
        <f t="shared" si="59"/>
        <v>1.7271654617257579</v>
      </c>
      <c r="C559" s="172">
        <f t="shared" si="61"/>
        <v>2.3429216792028269</v>
      </c>
      <c r="D559" s="172">
        <f t="shared" si="62"/>
        <v>5.4260503260916639</v>
      </c>
      <c r="E559" s="626">
        <f t="shared" si="63"/>
        <v>1</v>
      </c>
      <c r="F559" s="597">
        <v>788</v>
      </c>
      <c r="G559" s="626">
        <f t="shared" si="60"/>
        <v>1.0441600668782318</v>
      </c>
      <c r="H559" s="172">
        <f t="shared" si="64"/>
        <v>0.85629624823656636</v>
      </c>
      <c r="I559" s="172">
        <f t="shared" si="65"/>
        <v>3.28032559527648</v>
      </c>
      <c r="J559" s="626">
        <f t="shared" si="66"/>
        <v>1</v>
      </c>
      <c r="K559" s="597"/>
      <c r="L559" s="597"/>
      <c r="M559" s="598"/>
    </row>
    <row r="560" spans="1:13" x14ac:dyDescent="0.2">
      <c r="A560" s="12">
        <v>289</v>
      </c>
      <c r="B560" s="626">
        <f t="shared" si="59"/>
        <v>1.7241746967776159</v>
      </c>
      <c r="C560" s="172">
        <f t="shared" si="61"/>
        <v>2.3348146837730601</v>
      </c>
      <c r="D560" s="172">
        <f t="shared" si="62"/>
        <v>5.416654560901967</v>
      </c>
      <c r="E560" s="626">
        <f t="shared" si="63"/>
        <v>1</v>
      </c>
      <c r="F560" s="597">
        <v>789</v>
      </c>
      <c r="G560" s="626">
        <f t="shared" si="60"/>
        <v>1.0434981586869103</v>
      </c>
      <c r="H560" s="172">
        <f t="shared" si="64"/>
        <v>0.85521095514627932</v>
      </c>
      <c r="I560" s="172">
        <f t="shared" si="65"/>
        <v>3.2782461493652737</v>
      </c>
      <c r="J560" s="626">
        <f t="shared" si="66"/>
        <v>1</v>
      </c>
      <c r="K560" s="597"/>
      <c r="L560" s="597"/>
      <c r="M560" s="598"/>
    </row>
    <row r="561" spans="1:13" x14ac:dyDescent="0.2">
      <c r="A561" s="12">
        <v>290</v>
      </c>
      <c r="B561" s="626">
        <f t="shared" si="59"/>
        <v>1.721199414669863</v>
      </c>
      <c r="C561" s="172">
        <f t="shared" si="61"/>
        <v>2.3267635986566004</v>
      </c>
      <c r="D561" s="172">
        <f t="shared" si="62"/>
        <v>5.4073074364898934</v>
      </c>
      <c r="E561" s="626">
        <f t="shared" si="63"/>
        <v>1</v>
      </c>
      <c r="F561" s="597">
        <v>790</v>
      </c>
      <c r="G561" s="626">
        <f t="shared" si="60"/>
        <v>1.0428375076813474</v>
      </c>
      <c r="H561" s="172">
        <f t="shared" si="64"/>
        <v>0.85412840963343584</v>
      </c>
      <c r="I561" s="172">
        <f t="shared" si="65"/>
        <v>3.2761706530196104</v>
      </c>
      <c r="J561" s="626">
        <f t="shared" si="66"/>
        <v>1</v>
      </c>
      <c r="K561" s="597"/>
      <c r="L561" s="597"/>
      <c r="M561" s="598"/>
    </row>
    <row r="562" spans="1:13" x14ac:dyDescent="0.2">
      <c r="A562" s="12">
        <v>291</v>
      </c>
      <c r="B562" s="626">
        <f t="shared" si="59"/>
        <v>1.718239482273805</v>
      </c>
      <c r="C562" s="172">
        <f t="shared" si="61"/>
        <v>2.3187678474584681</v>
      </c>
      <c r="D562" s="172">
        <f t="shared" si="62"/>
        <v>5.398008534619315</v>
      </c>
      <c r="E562" s="626">
        <f t="shared" si="63"/>
        <v>1</v>
      </c>
      <c r="F562" s="597">
        <v>791</v>
      </c>
      <c r="G562" s="626">
        <f t="shared" si="60"/>
        <v>1.0421781098868799</v>
      </c>
      <c r="H562" s="172">
        <f t="shared" si="64"/>
        <v>0.85304860127738857</v>
      </c>
      <c r="I562" s="172">
        <f t="shared" si="65"/>
        <v>3.2740990937527181</v>
      </c>
      <c r="J562" s="626">
        <f t="shared" si="66"/>
        <v>1</v>
      </c>
      <c r="K562" s="597"/>
      <c r="L562" s="597"/>
      <c r="M562" s="598"/>
    </row>
    <row r="563" spans="1:13" x14ac:dyDescent="0.2">
      <c r="A563" s="12">
        <v>292</v>
      </c>
      <c r="B563" s="626">
        <f t="shared" si="59"/>
        <v>1.7152947680578381</v>
      </c>
      <c r="C563" s="172">
        <f t="shared" si="61"/>
        <v>2.3108268616795007</v>
      </c>
      <c r="D563" s="172">
        <f t="shared" si="62"/>
        <v>5.3887574420715119</v>
      </c>
      <c r="E563" s="626">
        <f t="shared" si="63"/>
        <v>1</v>
      </c>
      <c r="F563" s="597">
        <v>792</v>
      </c>
      <c r="G563" s="626">
        <f t="shared" si="60"/>
        <v>1.0415199613464146</v>
      </c>
      <c r="H563" s="172">
        <f t="shared" si="64"/>
        <v>0.8519715197101192</v>
      </c>
      <c r="I563" s="172">
        <f t="shared" si="65"/>
        <v>3.2720314591330211</v>
      </c>
      <c r="J563" s="626">
        <f t="shared" si="66"/>
        <v>1</v>
      </c>
      <c r="K563" s="597"/>
      <c r="L563" s="597"/>
      <c r="M563" s="598"/>
    </row>
    <row r="564" spans="1:13" x14ac:dyDescent="0.2">
      <c r="A564" s="12">
        <v>293</v>
      </c>
      <c r="B564" s="626">
        <f t="shared" si="59"/>
        <v>1.7123651420629009</v>
      </c>
      <c r="C564" s="172">
        <f t="shared" si="61"/>
        <v>2.3029400805816183</v>
      </c>
      <c r="D564" s="172">
        <f t="shared" si="62"/>
        <v>5.3795537505680517</v>
      </c>
      <c r="E564" s="626">
        <f t="shared" si="63"/>
        <v>1</v>
      </c>
      <c r="F564" s="597">
        <v>793</v>
      </c>
      <c r="G564" s="626">
        <f t="shared" si="60"/>
        <v>1.0408630581203286</v>
      </c>
      <c r="H564" s="172">
        <f t="shared" si="64"/>
        <v>0.85089715461590676</v>
      </c>
      <c r="I564" s="172">
        <f t="shared" si="65"/>
        <v>3.2699677367838302</v>
      </c>
      <c r="J564" s="626">
        <f t="shared" si="66"/>
        <v>1</v>
      </c>
      <c r="K564" s="597"/>
      <c r="L564" s="597"/>
      <c r="M564" s="598"/>
    </row>
    <row r="565" spans="1:13" x14ac:dyDescent="0.2">
      <c r="A565" s="12">
        <v>294</v>
      </c>
      <c r="B565" s="626">
        <f t="shared" si="59"/>
        <v>1.7094504758783839</v>
      </c>
      <c r="C565" s="172">
        <f t="shared" si="61"/>
        <v>2.2951069510558306</v>
      </c>
      <c r="D565" s="172">
        <f t="shared" si="62"/>
        <v>5.3703970566951069</v>
      </c>
      <c r="E565" s="626">
        <f t="shared" si="63"/>
        <v>1</v>
      </c>
      <c r="F565" s="597">
        <v>794</v>
      </c>
      <c r="G565" s="626">
        <f t="shared" si="60"/>
        <v>1.0402073962863716</v>
      </c>
      <c r="H565" s="172">
        <f t="shared" si="64"/>
        <v>0.84982549573100008</v>
      </c>
      <c r="I565" s="172">
        <f t="shared" si="65"/>
        <v>3.2679079143830316</v>
      </c>
      <c r="J565" s="626">
        <f t="shared" si="66"/>
        <v>1</v>
      </c>
      <c r="K565" s="597"/>
      <c r="L565" s="597"/>
      <c r="M565" s="598"/>
    </row>
    <row r="566" spans="1:13" x14ac:dyDescent="0.2">
      <c r="A566" s="12">
        <v>295</v>
      </c>
      <c r="B566" s="626">
        <f t="shared" si="59"/>
        <v>1.7065506426184887</v>
      </c>
      <c r="C566" s="172">
        <f t="shared" si="61"/>
        <v>2.2873269274929298</v>
      </c>
      <c r="D566" s="172">
        <f t="shared" si="62"/>
        <v>5.3612869618291841</v>
      </c>
      <c r="E566" s="626">
        <f t="shared" si="63"/>
        <v>1</v>
      </c>
      <c r="F566" s="597">
        <v>795</v>
      </c>
      <c r="G566" s="626">
        <f t="shared" si="60"/>
        <v>1.0395529719395658</v>
      </c>
      <c r="H566" s="172">
        <f t="shared" si="64"/>
        <v>0.84875653284328823</v>
      </c>
      <c r="I566" s="172">
        <f t="shared" si="65"/>
        <v>3.2658519796627763</v>
      </c>
      <c r="J566" s="626">
        <f t="shared" si="66"/>
        <v>1</v>
      </c>
      <c r="K566" s="597"/>
      <c r="L566" s="597"/>
      <c r="M566" s="598"/>
    </row>
    <row r="567" spans="1:13" x14ac:dyDescent="0.2">
      <c r="A567" s="12">
        <v>296</v>
      </c>
      <c r="B567" s="626">
        <f t="shared" si="59"/>
        <v>1.7036655168990267</v>
      </c>
      <c r="C567" s="172">
        <f t="shared" si="61"/>
        <v>2.2795994716568049</v>
      </c>
      <c r="D567" s="172">
        <f t="shared" si="62"/>
        <v>5.3522230720642394</v>
      </c>
      <c r="E567" s="626">
        <f t="shared" si="63"/>
        <v>1</v>
      </c>
      <c r="F567" s="597">
        <v>796</v>
      </c>
      <c r="G567" s="626">
        <f t="shared" si="60"/>
        <v>1.0388997811921088</v>
      </c>
      <c r="H567" s="172">
        <f t="shared" si="64"/>
        <v>0.84769025579197788</v>
      </c>
      <c r="I567" s="172">
        <f t="shared" si="65"/>
        <v>3.2637999204091726</v>
      </c>
      <c r="J567" s="626">
        <f t="shared" si="66"/>
        <v>1</v>
      </c>
      <c r="K567" s="597"/>
      <c r="L567" s="597"/>
      <c r="M567" s="598"/>
    </row>
    <row r="568" spans="1:13" x14ac:dyDescent="0.2">
      <c r="A568" s="12">
        <v>297</v>
      </c>
      <c r="B568" s="626">
        <f t="shared" si="59"/>
        <v>1.7007949748146494</v>
      </c>
      <c r="C568" s="172">
        <f t="shared" si="61"/>
        <v>2.2719240525603168</v>
      </c>
      <c r="D568" s="172">
        <f t="shared" si="62"/>
        <v>5.3432049981401395</v>
      </c>
      <c r="E568" s="626">
        <f t="shared" si="63"/>
        <v>1</v>
      </c>
      <c r="F568" s="597">
        <v>797</v>
      </c>
      <c r="G568" s="626">
        <f t="shared" si="60"/>
        <v>1.0382478201732768</v>
      </c>
      <c r="H568" s="172">
        <f t="shared" si="64"/>
        <v>0.84662665446727015</v>
      </c>
      <c r="I568" s="172">
        <f t="shared" si="65"/>
        <v>3.2617517244619827</v>
      </c>
      <c r="J568" s="626">
        <f t="shared" si="66"/>
        <v>1</v>
      </c>
      <c r="K568" s="597"/>
      <c r="L568" s="597"/>
      <c r="M568" s="598"/>
    </row>
    <row r="569" spans="1:13" x14ac:dyDescent="0.2">
      <c r="A569" s="12">
        <v>298</v>
      </c>
      <c r="B569" s="626">
        <f t="shared" si="59"/>
        <v>1.6979388939164974</v>
      </c>
      <c r="C569" s="172">
        <f t="shared" si="61"/>
        <v>2.2643001463436714</v>
      </c>
      <c r="D569" s="172">
        <f t="shared" si="62"/>
        <v>5.3342323553724471</v>
      </c>
      <c r="E569" s="626">
        <f t="shared" si="63"/>
        <v>1</v>
      </c>
      <c r="F569" s="597">
        <v>798</v>
      </c>
      <c r="G569" s="626">
        <f t="shared" si="60"/>
        <v>1.0375970850293286</v>
      </c>
      <c r="H569" s="172">
        <f t="shared" si="64"/>
        <v>0.84556571881004294</v>
      </c>
      <c r="I569" s="172">
        <f t="shared" si="65"/>
        <v>3.2597073797143223</v>
      </c>
      <c r="J569" s="626">
        <f t="shared" si="66"/>
        <v>1</v>
      </c>
      <c r="K569" s="597"/>
      <c r="L569" s="597"/>
      <c r="M569" s="598"/>
    </row>
    <row r="570" spans="1:13" x14ac:dyDescent="0.2">
      <c r="A570" s="12">
        <v>299</v>
      </c>
      <c r="B570" s="626">
        <f t="shared" si="59"/>
        <v>1.6950971531902614</v>
      </c>
      <c r="C570" s="172">
        <f t="shared" si="61"/>
        <v>2.2567272361552311</v>
      </c>
      <c r="D570" s="172">
        <f t="shared" si="62"/>
        <v>5.3253047635834978</v>
      </c>
      <c r="E570" s="626">
        <f t="shared" si="63"/>
        <v>1</v>
      </c>
      <c r="F570" s="597">
        <v>799</v>
      </c>
      <c r="G570" s="626">
        <f t="shared" si="60"/>
        <v>1.0369475719234089</v>
      </c>
      <c r="H570" s="172">
        <f t="shared" si="64"/>
        <v>0.84450743881153201</v>
      </c>
      <c r="I570" s="172">
        <f t="shared" si="65"/>
        <v>3.2576668741123549</v>
      </c>
      <c r="J570" s="626">
        <f t="shared" si="66"/>
        <v>1</v>
      </c>
      <c r="K570" s="597"/>
      <c r="L570" s="597"/>
      <c r="M570" s="598"/>
    </row>
    <row r="571" spans="1:13" x14ac:dyDescent="0.2">
      <c r="A571" s="12">
        <v>300</v>
      </c>
      <c r="B571" s="626">
        <f t="shared" si="59"/>
        <v>1.6922696330346463</v>
      </c>
      <c r="C571" s="172">
        <f t="shared" si="61"/>
        <v>2.2492048120347139</v>
      </c>
      <c r="D571" s="172">
        <f t="shared" si="62"/>
        <v>5.3164218470347402</v>
      </c>
      <c r="E571" s="626">
        <f t="shared" si="63"/>
        <v>1</v>
      </c>
      <c r="F571" s="597">
        <v>800</v>
      </c>
      <c r="G571" s="626">
        <f t="shared" si="60"/>
        <v>1.0362992770354547</v>
      </c>
      <c r="H571" s="172">
        <f t="shared" si="64"/>
        <v>0.84345180451301749</v>
      </c>
      <c r="I571" s="172">
        <f t="shared" si="65"/>
        <v>3.255630195654998</v>
      </c>
      <c r="J571" s="626">
        <f t="shared" si="66"/>
        <v>1</v>
      </c>
      <c r="K571" s="597"/>
      <c r="L571" s="597"/>
      <c r="M571" s="598"/>
    </row>
    <row r="572" spans="1:13" x14ac:dyDescent="0.2">
      <c r="A572" s="12">
        <v>301</v>
      </c>
      <c r="B572" s="626">
        <f t="shared" si="59"/>
        <v>1.6894562152402284</v>
      </c>
      <c r="C572" s="172">
        <f t="shared" si="61"/>
        <v>2.2417323707987182</v>
      </c>
      <c r="D572" s="172">
        <f t="shared" si="62"/>
        <v>5.307583234360318</v>
      </c>
      <c r="E572" s="626">
        <f t="shared" si="63"/>
        <v>1</v>
      </c>
      <c r="F572" s="597">
        <v>801</v>
      </c>
      <c r="G572" s="626">
        <f t="shared" si="60"/>
        <v>1.0356521965620995</v>
      </c>
      <c r="H572" s="172">
        <f t="shared" si="64"/>
        <v>0.84239880600551109</v>
      </c>
      <c r="I572" s="172">
        <f t="shared" si="65"/>
        <v>3.2535973323936243</v>
      </c>
      <c r="J572" s="626">
        <f t="shared" si="66"/>
        <v>1</v>
      </c>
      <c r="K572" s="597"/>
      <c r="L572" s="597"/>
      <c r="M572" s="598"/>
    </row>
    <row r="573" spans="1:13" x14ac:dyDescent="0.2">
      <c r="A573" s="12">
        <v>302</v>
      </c>
      <c r="B573" s="626">
        <f t="shared" si="59"/>
        <v>1.6866567829686989</v>
      </c>
      <c r="C573" s="172">
        <f t="shared" si="61"/>
        <v>2.2343094159285237</v>
      </c>
      <c r="D573" s="172">
        <f t="shared" si="62"/>
        <v>5.298788558501859</v>
      </c>
      <c r="E573" s="626">
        <f t="shared" si="63"/>
        <v>1</v>
      </c>
      <c r="F573" s="597">
        <v>802</v>
      </c>
      <c r="G573" s="626">
        <f t="shared" si="60"/>
        <v>1.0350063267165799</v>
      </c>
      <c r="H573" s="172">
        <f t="shared" si="64"/>
        <v>0.84134843342944399</v>
      </c>
      <c r="I573" s="172">
        <f t="shared" si="65"/>
        <v>3.2515682724317645</v>
      </c>
      <c r="J573" s="626">
        <f t="shared" si="66"/>
        <v>1</v>
      </c>
      <c r="K573" s="597"/>
      <c r="L573" s="597"/>
      <c r="M573" s="598"/>
    </row>
    <row r="574" spans="1:13" x14ac:dyDescent="0.2">
      <c r="A574" s="12">
        <v>303</v>
      </c>
      <c r="B574" s="626">
        <f t="shared" si="59"/>
        <v>1.683871220732484</v>
      </c>
      <c r="C574" s="172">
        <f t="shared" si="61"/>
        <v>2.226935457460113</v>
      </c>
      <c r="D574" s="172">
        <f t="shared" si="62"/>
        <v>5.2900374566444484</v>
      </c>
      <c r="E574" s="626">
        <f t="shared" si="63"/>
        <v>1</v>
      </c>
      <c r="F574" s="597">
        <v>803</v>
      </c>
      <c r="G574" s="626">
        <f t="shared" si="60"/>
        <v>1.0343616637286439</v>
      </c>
      <c r="H574" s="172">
        <f t="shared" si="64"/>
        <v>0.84030067697436395</v>
      </c>
      <c r="I574" s="172">
        <f t="shared" si="65"/>
        <v>3.2495430039248236</v>
      </c>
      <c r="J574" s="626">
        <f t="shared" si="66"/>
        <v>1</v>
      </c>
      <c r="K574" s="597"/>
      <c r="L574" s="597"/>
      <c r="M574" s="598"/>
    </row>
    <row r="575" spans="1:13" x14ac:dyDescent="0.2">
      <c r="A575" s="12">
        <v>304</v>
      </c>
      <c r="B575" s="626">
        <f t="shared" si="59"/>
        <v>1.6810994143747326</v>
      </c>
      <c r="C575" s="172">
        <f t="shared" si="61"/>
        <v>2.2196100118763624</v>
      </c>
      <c r="D575" s="172">
        <f t="shared" si="62"/>
        <v>5.2813295701537637</v>
      </c>
      <c r="E575" s="626">
        <f t="shared" si="63"/>
        <v>1</v>
      </c>
      <c r="F575" s="597">
        <v>804</v>
      </c>
      <c r="G575" s="626">
        <f t="shared" si="60"/>
        <v>1.0337182038444563</v>
      </c>
      <c r="H575" s="172">
        <f t="shared" si="64"/>
        <v>0.83925552687862448</v>
      </c>
      <c r="I575" s="172">
        <f t="shared" si="65"/>
        <v>3.2475215150797805</v>
      </c>
      <c r="J575" s="626">
        <f t="shared" si="66"/>
        <v>1</v>
      </c>
      <c r="K575" s="597"/>
      <c r="L575" s="597"/>
      <c r="M575" s="598"/>
    </row>
    <row r="576" spans="1:13" x14ac:dyDescent="0.2">
      <c r="A576" s="12">
        <v>305</v>
      </c>
      <c r="B576" s="626">
        <f t="shared" si="59"/>
        <v>1.6783412510496687</v>
      </c>
      <c r="C576" s="172">
        <f t="shared" si="61"/>
        <v>2.2123326020013581</v>
      </c>
      <c r="D576" s="172">
        <f t="shared" si="62"/>
        <v>5.2726645445143419</v>
      </c>
      <c r="E576" s="626">
        <f t="shared" si="63"/>
        <v>1</v>
      </c>
      <c r="F576" s="597">
        <v>805</v>
      </c>
      <c r="G576" s="626">
        <f t="shared" si="60"/>
        <v>1.0330759433265091</v>
      </c>
      <c r="H576" s="172">
        <f t="shared" si="64"/>
        <v>0.83821297342908618</v>
      </c>
      <c r="I576" s="172">
        <f t="shared" si="65"/>
        <v>3.2455037941549065</v>
      </c>
      <c r="J576" s="626">
        <f t="shared" si="66"/>
        <v>1</v>
      </c>
      <c r="K576" s="597"/>
      <c r="L576" s="597"/>
      <c r="M576" s="598"/>
    </row>
    <row r="577" spans="1:13" x14ac:dyDescent="0.2">
      <c r="A577" s="12">
        <v>306</v>
      </c>
      <c r="B577" s="626">
        <f t="shared" si="59"/>
        <v>1.6755966192032934</v>
      </c>
      <c r="C577" s="172">
        <f t="shared" si="61"/>
        <v>2.2051027568967787</v>
      </c>
      <c r="D577" s="172">
        <f t="shared" si="62"/>
        <v>5.2640420292689605</v>
      </c>
      <c r="E577" s="626">
        <f t="shared" si="63"/>
        <v>1</v>
      </c>
      <c r="F577" s="597">
        <v>806</v>
      </c>
      <c r="G577" s="626">
        <f t="shared" si="60"/>
        <v>1.032434878453528</v>
      </c>
      <c r="H577" s="172">
        <f t="shared" si="64"/>
        <v>0.83717300696081176</v>
      </c>
      <c r="I577" s="172">
        <f t="shared" si="65"/>
        <v>3.2434898294594747</v>
      </c>
      <c r="J577" s="626">
        <f t="shared" si="66"/>
        <v>1</v>
      </c>
      <c r="K577" s="597"/>
      <c r="L577" s="597"/>
      <c r="M577" s="598"/>
    </row>
    <row r="578" spans="1:13" x14ac:dyDescent="0.2">
      <c r="A578" s="12">
        <v>307</v>
      </c>
      <c r="B578" s="626">
        <f t="shared" si="59"/>
        <v>1.672865408554435</v>
      </c>
      <c r="C578" s="172">
        <f t="shared" si="61"/>
        <v>2.1979200117603068</v>
      </c>
      <c r="D578" s="172">
        <f t="shared" si="62"/>
        <v>5.2554616779591008</v>
      </c>
      <c r="E578" s="626">
        <f t="shared" si="63"/>
        <v>1</v>
      </c>
      <c r="F578" s="597">
        <v>807</v>
      </c>
      <c r="G578" s="626">
        <f t="shared" si="60"/>
        <v>1.0317950055203839</v>
      </c>
      <c r="H578" s="172">
        <f t="shared" si="64"/>
        <v>0.83613561785677104</v>
      </c>
      <c r="I578" s="172">
        <f t="shared" si="65"/>
        <v>3.2414796093534783</v>
      </c>
      <c r="J578" s="626">
        <f t="shared" si="66"/>
        <v>1</v>
      </c>
      <c r="K578" s="597"/>
      <c r="L578" s="597"/>
      <c r="M578" s="598"/>
    </row>
    <row r="579" spans="1:13" x14ac:dyDescent="0.2">
      <c r="A579" s="12">
        <v>308</v>
      </c>
      <c r="B579" s="626">
        <f t="shared" si="59"/>
        <v>1.6701475100761378</v>
      </c>
      <c r="C579" s="172">
        <f t="shared" si="61"/>
        <v>2.1907839078260203</v>
      </c>
      <c r="D579" s="172">
        <f t="shared" si="62"/>
        <v>5.2469231480664797</v>
      </c>
      <c r="E579" s="626">
        <f t="shared" si="63"/>
        <v>1</v>
      </c>
      <c r="F579" s="597">
        <v>808</v>
      </c>
      <c r="G579" s="626">
        <f t="shared" si="60"/>
        <v>1.0311563208380019</v>
      </c>
      <c r="H579" s="172">
        <f t="shared" si="64"/>
        <v>0.8351007965475421</v>
      </c>
      <c r="I579" s="172">
        <f t="shared" si="65"/>
        <v>3.2394731222473463</v>
      </c>
      <c r="J579" s="626">
        <f t="shared" si="66"/>
        <v>1</v>
      </c>
      <c r="K579" s="597"/>
      <c r="L579" s="597"/>
      <c r="M579" s="598"/>
    </row>
    <row r="580" spans="1:13" x14ac:dyDescent="0.2">
      <c r="A580" s="12">
        <v>309</v>
      </c>
      <c r="B580" s="626">
        <f t="shared" si="59"/>
        <v>1.6674428159773813</v>
      </c>
      <c r="C580" s="172">
        <f t="shared" si="61"/>
        <v>2.1836939922667127</v>
      </c>
      <c r="D580" s="172">
        <f t="shared" si="62"/>
        <v>5.2384261009556186</v>
      </c>
      <c r="E580" s="626">
        <f t="shared" si="63"/>
        <v>1</v>
      </c>
      <c r="F580" s="597">
        <v>809</v>
      </c>
      <c r="G580" s="626">
        <f t="shared" si="60"/>
        <v>1.0305188207332725</v>
      </c>
      <c r="H580" s="172">
        <f t="shared" si="64"/>
        <v>0.83406853351101895</v>
      </c>
      <c r="I580" s="172">
        <f t="shared" si="65"/>
        <v>3.237470356601666</v>
      </c>
      <c r="J580" s="626">
        <f t="shared" si="66"/>
        <v>1</v>
      </c>
      <c r="K580" s="597"/>
      <c r="L580" s="597"/>
      <c r="M580" s="598"/>
    </row>
    <row r="581" spans="1:13" x14ac:dyDescent="0.2">
      <c r="A581" s="12">
        <v>310</v>
      </c>
      <c r="B581" s="626">
        <f t="shared" si="59"/>
        <v>1.6647512196851255</v>
      </c>
      <c r="C581" s="172">
        <f t="shared" si="61"/>
        <v>2.1766498180981104</v>
      </c>
      <c r="D581" s="172">
        <f t="shared" si="62"/>
        <v>5.2299702018174381</v>
      </c>
      <c r="E581" s="626">
        <f t="shared" si="63"/>
        <v>1</v>
      </c>
      <c r="F581" s="597">
        <v>810</v>
      </c>
      <c r="G581" s="626">
        <f t="shared" si="60"/>
        <v>1.0298825015489617</v>
      </c>
      <c r="H581" s="172">
        <f t="shared" si="64"/>
        <v>0.83303881927211643</v>
      </c>
      <c r="I581" s="172">
        <f t="shared" si="65"/>
        <v>3.2354713009268967</v>
      </c>
      <c r="J581" s="626">
        <f t="shared" si="66"/>
        <v>1</v>
      </c>
      <c r="K581" s="597"/>
      <c r="L581" s="597"/>
      <c r="M581" s="598"/>
    </row>
    <row r="582" spans="1:13" x14ac:dyDescent="0.2">
      <c r="A582" s="12">
        <v>311</v>
      </c>
      <c r="B582" s="626">
        <f t="shared" si="59"/>
        <v>1.6620726158266721</v>
      </c>
      <c r="C582" s="172">
        <f t="shared" si="61"/>
        <v>2.1696509440849332</v>
      </c>
      <c r="D582" s="172">
        <f t="shared" si="62"/>
        <v>5.2215551196138437</v>
      </c>
      <c r="E582" s="626">
        <f t="shared" si="63"/>
        <v>1</v>
      </c>
      <c r="F582" s="597">
        <v>811</v>
      </c>
      <c r="G582" s="626">
        <f t="shared" si="60"/>
        <v>1.0292473596436245</v>
      </c>
      <c r="H582" s="172">
        <f t="shared" si="64"/>
        <v>0.83201164440248376</v>
      </c>
      <c r="I582" s="172">
        <f t="shared" si="65"/>
        <v>3.2334759437831022</v>
      </c>
      <c r="J582" s="626">
        <f t="shared" si="66"/>
        <v>1</v>
      </c>
      <c r="K582" s="597"/>
      <c r="L582" s="597"/>
      <c r="M582" s="598"/>
    </row>
    <row r="583" spans="1:13" x14ac:dyDescent="0.2">
      <c r="A583" s="12">
        <v>312</v>
      </c>
      <c r="B583" s="626">
        <f t="shared" si="59"/>
        <v>1.6594069002123391</v>
      </c>
      <c r="C583" s="172">
        <f t="shared" si="61"/>
        <v>2.1626969346487637</v>
      </c>
      <c r="D583" s="172">
        <f t="shared" si="62"/>
        <v>5.2131805270232956</v>
      </c>
      <c r="E583" s="626">
        <f t="shared" si="63"/>
        <v>1</v>
      </c>
      <c r="F583" s="597">
        <v>812</v>
      </c>
      <c r="G583" s="626">
        <f t="shared" si="60"/>
        <v>1.0286133913915165</v>
      </c>
      <c r="H583" s="172">
        <f t="shared" si="64"/>
        <v>0.83098699952021482</v>
      </c>
      <c r="I583" s="172">
        <f t="shared" si="65"/>
        <v>3.231484273779671</v>
      </c>
      <c r="J583" s="626">
        <f t="shared" si="66"/>
        <v>1</v>
      </c>
      <c r="K583" s="597"/>
      <c r="L583" s="597"/>
      <c r="M583" s="598"/>
    </row>
    <row r="584" spans="1:13" x14ac:dyDescent="0.2">
      <c r="A584" s="12">
        <v>313</v>
      </c>
      <c r="B584" s="626">
        <f t="shared" si="59"/>
        <v>1.6567539698184379</v>
      </c>
      <c r="C584" s="172">
        <f t="shared" si="61"/>
        <v>2.1557873597776815</v>
      </c>
      <c r="D584" s="172">
        <f t="shared" si="62"/>
        <v>5.2048461003873303</v>
      </c>
      <c r="E584" s="626">
        <f t="shared" si="63"/>
        <v>1</v>
      </c>
      <c r="F584" s="597">
        <v>813</v>
      </c>
      <c r="G584" s="626">
        <f t="shared" si="60"/>
        <v>1.0279805931825068</v>
      </c>
      <c r="H584" s="172">
        <f t="shared" si="64"/>
        <v>0.82996487528956242</v>
      </c>
      <c r="I584" s="172">
        <f t="shared" si="65"/>
        <v>3.229496279575041</v>
      </c>
      <c r="J584" s="626">
        <f t="shared" si="66"/>
        <v>1</v>
      </c>
      <c r="K584" s="597"/>
      <c r="L584" s="597"/>
      <c r="M584" s="598"/>
    </row>
    <row r="585" spans="1:13" x14ac:dyDescent="0.2">
      <c r="A585" s="12">
        <v>314</v>
      </c>
      <c r="B585" s="626">
        <f t="shared" si="59"/>
        <v>1.6541137227705507</v>
      </c>
      <c r="C585" s="172">
        <f t="shared" si="61"/>
        <v>2.1489217949376247</v>
      </c>
      <c r="D585" s="172">
        <f t="shared" si="62"/>
        <v>5.1965515196580254</v>
      </c>
      <c r="E585" s="626">
        <f t="shared" si="63"/>
        <v>1</v>
      </c>
      <c r="F585" s="597">
        <v>814</v>
      </c>
      <c r="G585" s="626">
        <f t="shared" si="60"/>
        <v>1.0273489614219924</v>
      </c>
      <c r="H585" s="172">
        <f t="shared" si="64"/>
        <v>0.82894526242065625</v>
      </c>
      <c r="I585" s="172">
        <f t="shared" si="65"/>
        <v>3.2275119498764351</v>
      </c>
      <c r="J585" s="626">
        <f t="shared" si="66"/>
        <v>1</v>
      </c>
      <c r="K585" s="597"/>
      <c r="L585" s="597"/>
      <c r="M585" s="598"/>
    </row>
    <row r="586" spans="1:13" x14ac:dyDescent="0.2">
      <c r="A586" s="12">
        <v>315</v>
      </c>
      <c r="B586" s="626">
        <f t="shared" si="59"/>
        <v>1.6514860583270989</v>
      </c>
      <c r="C586" s="172">
        <f t="shared" si="61"/>
        <v>2.1420998209854418</v>
      </c>
      <c r="D586" s="172">
        <f t="shared" si="62"/>
        <v>5.1882964683463788</v>
      </c>
      <c r="E586" s="626">
        <f t="shared" si="63"/>
        <v>1</v>
      </c>
      <c r="F586" s="597">
        <v>815</v>
      </c>
      <c r="G586" s="626">
        <f t="shared" si="60"/>
        <v>1.0267184925308117</v>
      </c>
      <c r="H586" s="172">
        <f t="shared" si="64"/>
        <v>0.82792815166922007</v>
      </c>
      <c r="I586" s="172">
        <f t="shared" si="65"/>
        <v>3.2255312734395849</v>
      </c>
      <c r="J586" s="626">
        <f t="shared" si="66"/>
        <v>1</v>
      </c>
      <c r="K586" s="597"/>
      <c r="L586" s="597"/>
      <c r="M586" s="598"/>
    </row>
    <row r="587" spans="1:13" x14ac:dyDescent="0.2">
      <c r="A587" s="12">
        <v>316</v>
      </c>
      <c r="B587" s="626">
        <f t="shared" si="59"/>
        <v>1.6488708768631979</v>
      </c>
      <c r="C587" s="172">
        <f t="shared" si="61"/>
        <v>2.1353210240835896</v>
      </c>
      <c r="D587" s="172">
        <f t="shared" si="62"/>
        <v>5.180080633471583</v>
      </c>
      <c r="E587" s="626">
        <f t="shared" si="63"/>
        <v>1</v>
      </c>
      <c r="F587" s="597">
        <v>816</v>
      </c>
      <c r="G587" s="626">
        <f t="shared" si="60"/>
        <v>1.0260891829451595</v>
      </c>
      <c r="H587" s="172">
        <f t="shared" si="64"/>
        <v>0.82691353383629207</v>
      </c>
      <c r="I587" s="172">
        <f t="shared" si="65"/>
        <v>3.2235542390684664</v>
      </c>
      <c r="J587" s="626">
        <f t="shared" si="66"/>
        <v>1</v>
      </c>
      <c r="K587" s="597"/>
      <c r="L587" s="597"/>
      <c r="M587" s="598"/>
    </row>
    <row r="588" spans="1:13" x14ac:dyDescent="0.2">
      <c r="A588" s="12">
        <v>317</v>
      </c>
      <c r="B588" s="626">
        <f t="shared" si="59"/>
        <v>1.6462680798547926</v>
      </c>
      <c r="C588" s="172">
        <f t="shared" si="61"/>
        <v>2.1285849956164489</v>
      </c>
      <c r="D588" s="172">
        <f t="shared" si="62"/>
        <v>5.1719037055111912</v>
      </c>
      <c r="E588" s="626">
        <f t="shared" si="63"/>
        <v>1</v>
      </c>
      <c r="F588" s="597">
        <v>817</v>
      </c>
      <c r="G588" s="626">
        <f t="shared" si="60"/>
        <v>1.0254610291165027</v>
      </c>
      <c r="H588" s="172">
        <f t="shared" si="64"/>
        <v>0.82590139976794885</v>
      </c>
      <c r="I588" s="172">
        <f t="shared" si="65"/>
        <v>3.2215808356150339</v>
      </c>
      <c r="J588" s="626">
        <f t="shared" si="66"/>
        <v>1</v>
      </c>
      <c r="K588" s="597"/>
      <c r="L588" s="597"/>
      <c r="M588" s="598"/>
    </row>
    <row r="589" spans="1:13" x14ac:dyDescent="0.2">
      <c r="A589" s="12">
        <v>318</v>
      </c>
      <c r="B589" s="626">
        <f t="shared" si="59"/>
        <v>1.6436775698630675</v>
      </c>
      <c r="C589" s="172">
        <f t="shared" si="61"/>
        <v>2.1218913321082207</v>
      </c>
      <c r="D589" s="172">
        <f t="shared" si="62"/>
        <v>5.1637653783521369</v>
      </c>
      <c r="E589" s="626">
        <f t="shared" si="63"/>
        <v>1</v>
      </c>
      <c r="F589" s="597">
        <v>818</v>
      </c>
      <c r="G589" s="626">
        <f t="shared" si="60"/>
        <v>1.024834027511496</v>
      </c>
      <c r="H589" s="172">
        <f t="shared" si="64"/>
        <v>0.82489174035502943</v>
      </c>
      <c r="I589" s="172">
        <f t="shared" si="65"/>
        <v>3.2196110519789558</v>
      </c>
      <c r="J589" s="626">
        <f t="shared" si="66"/>
        <v>1</v>
      </c>
      <c r="K589" s="597"/>
      <c r="L589" s="597"/>
      <c r="M589" s="598"/>
    </row>
    <row r="590" spans="1:13" x14ac:dyDescent="0.2">
      <c r="A590" s="12">
        <v>319</v>
      </c>
      <c r="B590" s="626">
        <f t="shared" si="59"/>
        <v>1.6410992505191255</v>
      </c>
      <c r="C590" s="172">
        <f t="shared" si="61"/>
        <v>2.1152396351423643</v>
      </c>
      <c r="D590" s="172">
        <f t="shared" si="62"/>
        <v>5.1556653492426001</v>
      </c>
      <c r="E590" s="626">
        <f t="shared" si="63"/>
        <v>1</v>
      </c>
      <c r="F590" s="597">
        <v>819</v>
      </c>
      <c r="G590" s="626">
        <f t="shared" si="60"/>
        <v>1.0242081746118987</v>
      </c>
      <c r="H590" s="172">
        <f t="shared" si="64"/>
        <v>0.82388454653286236</v>
      </c>
      <c r="I590" s="172">
        <f t="shared" si="65"/>
        <v>3.2176448771073529</v>
      </c>
      <c r="J590" s="626">
        <f t="shared" si="66"/>
        <v>1</v>
      </c>
      <c r="K590" s="597"/>
      <c r="L590" s="597"/>
      <c r="M590" s="598"/>
    </row>
    <row r="591" spans="1:13" x14ac:dyDescent="0.2">
      <c r="A591" s="12">
        <v>320</v>
      </c>
      <c r="B591" s="626">
        <f t="shared" si="59"/>
        <v>1.6385330265089306</v>
      </c>
      <c r="C591" s="172">
        <f t="shared" si="61"/>
        <v>2.1086295112825448</v>
      </c>
      <c r="D591" s="172">
        <f t="shared" si="62"/>
        <v>5.1476033187447063</v>
      </c>
      <c r="E591" s="626">
        <f t="shared" si="63"/>
        <v>1</v>
      </c>
      <c r="F591" s="597">
        <v>820</v>
      </c>
      <c r="G591" s="626">
        <f t="shared" si="60"/>
        <v>1.023583466914491</v>
      </c>
      <c r="H591" s="172">
        <f t="shared" si="64"/>
        <v>0.8228798092809928</v>
      </c>
      <c r="I591" s="172">
        <f t="shared" si="65"/>
        <v>3.215682299994536</v>
      </c>
      <c r="J591" s="626">
        <f t="shared" si="66"/>
        <v>1</v>
      </c>
      <c r="K591" s="597"/>
      <c r="L591" s="597"/>
      <c r="M591" s="598"/>
    </row>
    <row r="592" spans="1:13" x14ac:dyDescent="0.2">
      <c r="A592" s="12">
        <v>321</v>
      </c>
      <c r="B592" s="626">
        <f t="shared" ref="B592:B655" si="67">SQRT(PI()*$I$266*$I$264/SQRT(3)/A592)</f>
        <v>1.6359788035585074</v>
      </c>
      <c r="C592" s="172">
        <f t="shared" si="61"/>
        <v>2.1020605719950596</v>
      </c>
      <c r="D592" s="172">
        <f t="shared" si="62"/>
        <v>5.139578990688026</v>
      </c>
      <c r="E592" s="626">
        <f t="shared" si="63"/>
        <v>1</v>
      </c>
      <c r="F592" s="597">
        <v>821</v>
      </c>
      <c r="G592" s="626">
        <f t="shared" ref="G592:G655" si="68">SQRT(PI()*$I$266*$I$264/SQRT(3)/F592)</f>
        <v>1.0229599009309929</v>
      </c>
      <c r="H592" s="172">
        <f t="shared" si="64"/>
        <v>0.82187751962291633</v>
      </c>
      <c r="I592" s="172">
        <f t="shared" si="65"/>
        <v>3.2137233096817499</v>
      </c>
      <c r="J592" s="626">
        <f t="shared" si="66"/>
        <v>1</v>
      </c>
      <c r="K592" s="597"/>
      <c r="L592" s="597"/>
      <c r="M592" s="598"/>
    </row>
    <row r="593" spans="1:13" x14ac:dyDescent="0.2">
      <c r="A593" s="12">
        <v>322</v>
      </c>
      <c r="B593" s="626">
        <f t="shared" si="67"/>
        <v>1.633436488419397</v>
      </c>
      <c r="C593" s="172">
        <f t="shared" ref="C593:C656" si="69">PI()*B593^2/4</f>
        <v>2.0955324335727146</v>
      </c>
      <c r="D593" s="172">
        <f t="shared" ref="D593:D656" si="70">PI()*B593</f>
        <v>5.1315920721238868</v>
      </c>
      <c r="E593" s="626">
        <f t="shared" ref="E593:E656" si="71">IF(A593&lt;=$C$265,(D593*$I$265/PI()^2/C593)*SQRT(A593/$B$265),IF(A593&lt;$B$265,($C$270-$B$270)/($C$265-$B$265)*A593+($C$265*$B$270-$B$265*$C$270)/($C$265-$B$265),IF(A593=$B$265,0.45*SQRT(D593/$I$265),IF(A593&lt;$D$265,($B$270-$D$270)/($B$265-$D$265)*A593+($B$265*$D$270-$D$265*$B$270)/($B$265-$D$265),1))))</f>
        <v>1</v>
      </c>
      <c r="F593" s="597">
        <v>822</v>
      </c>
      <c r="G593" s="626">
        <f t="shared" si="68"/>
        <v>1.0223374731879808</v>
      </c>
      <c r="H593" s="172">
        <f t="shared" si="64"/>
        <v>0.82087766862580791</v>
      </c>
      <c r="I593" s="172">
        <f t="shared" si="65"/>
        <v>3.2117678952569126</v>
      </c>
      <c r="J593" s="626">
        <f t="shared" si="66"/>
        <v>1</v>
      </c>
      <c r="K593" s="597"/>
      <c r="L593" s="597"/>
      <c r="M593" s="598"/>
    </row>
    <row r="594" spans="1:13" x14ac:dyDescent="0.2">
      <c r="A594" s="12">
        <v>323</v>
      </c>
      <c r="B594" s="626">
        <f t="shared" si="67"/>
        <v>1.6309059888543564</v>
      </c>
      <c r="C594" s="172">
        <f t="shared" si="69"/>
        <v>2.0890447170601059</v>
      </c>
      <c r="D594" s="172">
        <f t="shared" si="70"/>
        <v>5.123642273280443</v>
      </c>
      <c r="E594" s="626">
        <f t="shared" si="71"/>
        <v>1</v>
      </c>
      <c r="F594" s="597">
        <v>823</v>
      </c>
      <c r="G594" s="626">
        <f t="shared" si="68"/>
        <v>1.0217161802268084</v>
      </c>
      <c r="H594" s="172">
        <f t="shared" si="64"/>
        <v>0.81988024740026033</v>
      </c>
      <c r="I594" s="172">
        <f t="shared" si="65"/>
        <v>3.2098160458543665</v>
      </c>
      <c r="J594" s="626">
        <f t="shared" si="66"/>
        <v>1</v>
      </c>
      <c r="K594" s="597"/>
      <c r="L594" s="597"/>
      <c r="M594" s="598"/>
    </row>
    <row r="595" spans="1:13" x14ac:dyDescent="0.2">
      <c r="A595" s="12">
        <v>324</v>
      </c>
      <c r="B595" s="626">
        <f t="shared" si="67"/>
        <v>1.628387213623304</v>
      </c>
      <c r="C595" s="172">
        <f t="shared" si="69"/>
        <v>2.0825970481802916</v>
      </c>
      <c r="D595" s="172">
        <f t="shared" si="70"/>
        <v>5.1157293075185244</v>
      </c>
      <c r="E595" s="626">
        <f t="shared" si="71"/>
        <v>1</v>
      </c>
      <c r="F595" s="597">
        <v>824</v>
      </c>
      <c r="G595" s="626">
        <f t="shared" si="68"/>
        <v>1.0210960186035236</v>
      </c>
      <c r="H595" s="172">
        <f t="shared" si="64"/>
        <v>0.81888524710001731</v>
      </c>
      <c r="I595" s="172">
        <f t="shared" si="65"/>
        <v>3.2078677506546165</v>
      </c>
      <c r="J595" s="626">
        <f t="shared" si="66"/>
        <v>1</v>
      </c>
      <c r="K595" s="597"/>
      <c r="L595" s="597"/>
      <c r="M595" s="598"/>
    </row>
    <row r="596" spans="1:13" x14ac:dyDescent="0.2">
      <c r="A596" s="12">
        <v>325</v>
      </c>
      <c r="B596" s="626">
        <f t="shared" si="67"/>
        <v>1.6258800724695013</v>
      </c>
      <c r="C596" s="172">
        <f t="shared" si="69"/>
        <v>2.076189057262813</v>
      </c>
      <c r="D596" s="172">
        <f t="shared" si="70"/>
        <v>5.1078528912882257</v>
      </c>
      <c r="E596" s="626">
        <f t="shared" si="71"/>
        <v>1</v>
      </c>
      <c r="F596" s="597">
        <v>825</v>
      </c>
      <c r="G596" s="626">
        <f t="shared" si="68"/>
        <v>1.0204769848887896</v>
      </c>
      <c r="H596" s="172">
        <f t="shared" si="64"/>
        <v>0.81789265892171403</v>
      </c>
      <c r="I596" s="172">
        <f t="shared" si="65"/>
        <v>3.2059229988840836</v>
      </c>
      <c r="J596" s="626">
        <f t="shared" si="66"/>
        <v>1</v>
      </c>
      <c r="K596" s="597"/>
      <c r="L596" s="597"/>
      <c r="M596" s="598"/>
    </row>
    <row r="597" spans="1:13" x14ac:dyDescent="0.2">
      <c r="A597" s="12">
        <v>326</v>
      </c>
      <c r="B597" s="626">
        <f t="shared" si="67"/>
        <v>1.6233844761059704</v>
      </c>
      <c r="C597" s="172">
        <f t="shared" si="69"/>
        <v>2.0698203791730498</v>
      </c>
      <c r="D597" s="172">
        <f t="shared" si="70"/>
        <v>5.1000127440862313</v>
      </c>
      <c r="E597" s="626">
        <f t="shared" si="71"/>
        <v>1</v>
      </c>
      <c r="F597" s="597">
        <v>826</v>
      </c>
      <c r="G597" s="626">
        <f t="shared" si="68"/>
        <v>1.0198590756678059</v>
      </c>
      <c r="H597" s="172">
        <f t="shared" si="64"/>
        <v>0.81690247410461769</v>
      </c>
      <c r="I597" s="172">
        <f t="shared" si="65"/>
        <v>3.203981779814856</v>
      </c>
      <c r="J597" s="626">
        <f t="shared" si="66"/>
        <v>1</v>
      </c>
      <c r="K597" s="597"/>
      <c r="L597" s="597"/>
      <c r="M597" s="598"/>
    </row>
    <row r="598" spans="1:13" x14ac:dyDescent="0.2">
      <c r="A598" s="12">
        <v>327</v>
      </c>
      <c r="B598" s="626">
        <f t="shared" si="67"/>
        <v>1.6209003362021364</v>
      </c>
      <c r="C598" s="172">
        <f t="shared" si="69"/>
        <v>2.063490653242857</v>
      </c>
      <c r="D598" s="172">
        <f t="shared" si="70"/>
        <v>5.0922085884138575</v>
      </c>
      <c r="E598" s="626">
        <f t="shared" si="71"/>
        <v>1</v>
      </c>
      <c r="F598" s="597">
        <v>827</v>
      </c>
      <c r="G598" s="626">
        <f t="shared" si="68"/>
        <v>1.0192422875402276</v>
      </c>
      <c r="H598" s="172">
        <f t="shared" si="64"/>
        <v>0.81591468393036803</v>
      </c>
      <c r="I598" s="172">
        <f t="shared" si="65"/>
        <v>3.2020440827644348</v>
      </c>
      <c r="J598" s="626">
        <f t="shared" si="66"/>
        <v>1</v>
      </c>
      <c r="K598" s="597"/>
      <c r="L598" s="597"/>
      <c r="M598" s="598"/>
    </row>
    <row r="599" spans="1:13" x14ac:dyDescent="0.2">
      <c r="A599" s="12">
        <v>328</v>
      </c>
      <c r="B599" s="626">
        <f t="shared" si="67"/>
        <v>1.6184275653706972</v>
      </c>
      <c r="C599" s="172">
        <f t="shared" si="69"/>
        <v>2.057199523202482</v>
      </c>
      <c r="D599" s="172">
        <f t="shared" si="70"/>
        <v>5.0844401497357969</v>
      </c>
      <c r="E599" s="626">
        <f t="shared" si="71"/>
        <v>1</v>
      </c>
      <c r="F599" s="597">
        <v>828</v>
      </c>
      <c r="G599" s="626">
        <f t="shared" si="68"/>
        <v>1.0186266171200875</v>
      </c>
      <c r="H599" s="172">
        <f t="shared" si="64"/>
        <v>0.81492927972272267</v>
      </c>
      <c r="I599" s="172">
        <f t="shared" si="65"/>
        <v>3.2001098970954898</v>
      </c>
      <c r="J599" s="626">
        <f t="shared" si="66"/>
        <v>1</v>
      </c>
      <c r="K599" s="597"/>
      <c r="L599" s="597"/>
      <c r="M599" s="598"/>
    </row>
    <row r="600" spans="1:13" x14ac:dyDescent="0.2">
      <c r="A600" s="12">
        <v>329</v>
      </c>
      <c r="B600" s="626">
        <f t="shared" si="67"/>
        <v>1.6159660771547115</v>
      </c>
      <c r="C600" s="172">
        <f t="shared" si="69"/>
        <v>2.050946637113721</v>
      </c>
      <c r="D600" s="172">
        <f t="shared" si="70"/>
        <v>5.0767071564395589</v>
      </c>
      <c r="E600" s="626">
        <f t="shared" si="71"/>
        <v>1</v>
      </c>
      <c r="F600" s="597">
        <v>829</v>
      </c>
      <c r="G600" s="626">
        <f t="shared" si="68"/>
        <v>1.0180120610357186</v>
      </c>
      <c r="H600" s="172">
        <f t="shared" si="64"/>
        <v>0.81394625284730293</v>
      </c>
      <c r="I600" s="172">
        <f t="shared" si="65"/>
        <v>3.1981792122156176</v>
      </c>
      <c r="J600" s="626">
        <f t="shared" si="66"/>
        <v>1</v>
      </c>
      <c r="K600" s="597"/>
      <c r="L600" s="597"/>
      <c r="M600" s="598"/>
    </row>
    <row r="601" spans="1:13" x14ac:dyDescent="0.2">
      <c r="A601" s="12">
        <v>330</v>
      </c>
      <c r="B601" s="626">
        <f t="shared" si="67"/>
        <v>1.6135157860149023</v>
      </c>
      <c r="C601" s="172">
        <f t="shared" si="69"/>
        <v>2.0447316473042854</v>
      </c>
      <c r="D601" s="172">
        <f t="shared" si="70"/>
        <v>5.0690093397955778</v>
      </c>
      <c r="E601" s="626">
        <f t="shared" si="71"/>
        <v>1</v>
      </c>
      <c r="F601" s="597">
        <v>830</v>
      </c>
      <c r="G601" s="626">
        <f t="shared" si="68"/>
        <v>1.0173986159296762</v>
      </c>
      <c r="H601" s="172">
        <f t="shared" si="64"/>
        <v>0.81296559471134267</v>
      </c>
      <c r="I601" s="172">
        <f t="shared" si="65"/>
        <v>3.1962520175770943</v>
      </c>
      <c r="J601" s="626">
        <f t="shared" si="66"/>
        <v>1</v>
      </c>
      <c r="K601" s="597"/>
      <c r="L601" s="597"/>
      <c r="M601" s="598"/>
    </row>
    <row r="602" spans="1:13" x14ac:dyDescent="0.2">
      <c r="A602" s="12">
        <v>331</v>
      </c>
      <c r="B602" s="626">
        <f t="shared" si="67"/>
        <v>1.6110766073171714</v>
      </c>
      <c r="C602" s="172">
        <f t="shared" si="69"/>
        <v>2.0385542103033663</v>
      </c>
      <c r="D602" s="172">
        <f t="shared" si="70"/>
        <v>5.0613464339179934</v>
      </c>
      <c r="E602" s="626">
        <f t="shared" si="71"/>
        <v>1</v>
      </c>
      <c r="F602" s="597">
        <v>831</v>
      </c>
      <c r="G602" s="626">
        <f t="shared" si="68"/>
        <v>1.0167862784586597</v>
      </c>
      <c r="H602" s="172">
        <f t="shared" si="64"/>
        <v>0.81198729676343451</v>
      </c>
      <c r="I602" s="172">
        <f t="shared" si="65"/>
        <v>3.1943283026766309</v>
      </c>
      <c r="J602" s="626">
        <f t="shared" si="66"/>
        <v>1</v>
      </c>
      <c r="K602" s="597"/>
      <c r="L602" s="597"/>
      <c r="M602" s="598"/>
    </row>
    <row r="603" spans="1:13" x14ac:dyDescent="0.2">
      <c r="A603" s="12">
        <v>332</v>
      </c>
      <c r="B603" s="626">
        <f t="shared" si="67"/>
        <v>1.6086484573203217</v>
      </c>
      <c r="C603" s="172">
        <f t="shared" si="69"/>
        <v>2.0324139867783555</v>
      </c>
      <c r="D603" s="172">
        <f t="shared" si="70"/>
        <v>5.0537181757260763</v>
      </c>
      <c r="E603" s="626">
        <f t="shared" si="71"/>
        <v>1</v>
      </c>
      <c r="F603" s="597">
        <v>832</v>
      </c>
      <c r="G603" s="626">
        <f t="shared" si="68"/>
        <v>1.0161750452934384</v>
      </c>
      <c r="H603" s="172">
        <f t="shared" si="64"/>
        <v>0.81101135049328654</v>
      </c>
      <c r="I603" s="172">
        <f t="shared" si="65"/>
        <v>3.1924080570551414</v>
      </c>
      <c r="J603" s="626">
        <f t="shared" si="66"/>
        <v>1</v>
      </c>
      <c r="K603" s="597"/>
      <c r="L603" s="597"/>
      <c r="M603" s="598"/>
    </row>
    <row r="604" spans="1:13" x14ac:dyDescent="0.2">
      <c r="A604" s="12">
        <v>333</v>
      </c>
      <c r="B604" s="626">
        <f t="shared" si="67"/>
        <v>1.606231253163982</v>
      </c>
      <c r="C604" s="172">
        <f t="shared" si="69"/>
        <v>2.0263106414727159</v>
      </c>
      <c r="D604" s="172">
        <f t="shared" si="70"/>
        <v>5.0461243049062929</v>
      </c>
      <c r="E604" s="626">
        <f t="shared" si="71"/>
        <v>1</v>
      </c>
      <c r="F604" s="597">
        <v>833</v>
      </c>
      <c r="G604" s="626">
        <f t="shared" si="68"/>
        <v>1.0155649131187729</v>
      </c>
      <c r="H604" s="172">
        <f t="shared" si="64"/>
        <v>0.81003774743146939</v>
      </c>
      <c r="I604" s="172">
        <f t="shared" si="65"/>
        <v>3.1904912702974935</v>
      </c>
      <c r="J604" s="626">
        <f t="shared" si="66"/>
        <v>1</v>
      </c>
      <c r="K604" s="597"/>
      <c r="L604" s="597"/>
      <c r="M604" s="598"/>
    </row>
    <row r="605" spans="1:13" x14ac:dyDescent="0.2">
      <c r="A605" s="12">
        <v>334</v>
      </c>
      <c r="B605" s="626">
        <f t="shared" si="67"/>
        <v>1.6038249128567292</v>
      </c>
      <c r="C605" s="172">
        <f t="shared" si="69"/>
        <v>2.0202438431449528</v>
      </c>
      <c r="D605" s="172">
        <f t="shared" si="70"/>
        <v>5.0385645638749903</v>
      </c>
      <c r="E605" s="626">
        <f t="shared" si="71"/>
        <v>1</v>
      </c>
      <c r="F605" s="597">
        <v>834</v>
      </c>
      <c r="G605" s="626">
        <f t="shared" si="68"/>
        <v>1.0149558786333424</v>
      </c>
      <c r="H605" s="172">
        <f t="shared" ref="H605:H668" si="72">PI()*G605^2/4</f>
        <v>0.80906647914917762</v>
      </c>
      <c r="I605" s="172">
        <f t="shared" ref="I605:I668" si="73">PI()*G605</f>
        <v>3.188577932032282</v>
      </c>
      <c r="J605" s="626">
        <f t="shared" ref="J605:J668" si="74">IF(F605&lt;=$C$265,(I605*$I$265/PI()^2/H605)*SQRT(F605/$B$265),IF(F605&lt;$B$265,($C$270-$B$270)/($C$265-$B$265)*F605+($C$265*$B$270-$B$265*$C$270)/($C$265-$B$265),IF(F605=$B$265,0.45*SQRT(I605/$I$265),IF(F605&lt;$D$265,($B$270-$D$270)/($B$265-$D$265)*F605+($B$265*$D$270-$D$265*$B$270)/($B$265-$D$265),1))))</f>
        <v>1</v>
      </c>
      <c r="K605" s="597"/>
      <c r="L605" s="597"/>
      <c r="M605" s="598"/>
    </row>
    <row r="606" spans="1:13" x14ac:dyDescent="0.2">
      <c r="A606" s="12">
        <v>335</v>
      </c>
      <c r="B606" s="626">
        <f t="shared" si="67"/>
        <v>1.6014293552644094</v>
      </c>
      <c r="C606" s="172">
        <f t="shared" si="69"/>
        <v>2.0142132645086992</v>
      </c>
      <c r="D606" s="172">
        <f t="shared" si="70"/>
        <v>5.0310386977417076</v>
      </c>
      <c r="E606" s="626">
        <f t="shared" si="71"/>
        <v>1</v>
      </c>
      <c r="F606" s="597">
        <v>835</v>
      </c>
      <c r="G606" s="626">
        <f t="shared" si="68"/>
        <v>1.0143479385496665</v>
      </c>
      <c r="H606" s="172">
        <f t="shared" si="72"/>
        <v>0.80809753725798106</v>
      </c>
      <c r="I606" s="172">
        <f t="shared" si="73"/>
        <v>3.1866680319315832</v>
      </c>
      <c r="J606" s="626">
        <f t="shared" si="74"/>
        <v>1</v>
      </c>
      <c r="K606" s="597"/>
      <c r="L606" s="597"/>
      <c r="M606" s="598"/>
    </row>
    <row r="607" spans="1:13" x14ac:dyDescent="0.2">
      <c r="A607" s="12">
        <v>336</v>
      </c>
      <c r="B607" s="626">
        <f t="shared" si="67"/>
        <v>1.5990445000986462</v>
      </c>
      <c r="C607" s="172">
        <f t="shared" si="69"/>
        <v>2.0082185821738521</v>
      </c>
      <c r="D607" s="172">
        <f t="shared" si="70"/>
        <v>5.0235464542730703</v>
      </c>
      <c r="E607" s="626">
        <f t="shared" si="71"/>
        <v>1</v>
      </c>
      <c r="F607" s="597">
        <v>836</v>
      </c>
      <c r="G607" s="626">
        <f t="shared" si="68"/>
        <v>1.0137410895940333</v>
      </c>
      <c r="H607" s="172">
        <f t="shared" si="72"/>
        <v>0.80713091340958631</v>
      </c>
      <c r="I607" s="172">
        <f t="shared" si="73"/>
        <v>3.1847615597107275</v>
      </c>
      <c r="J607" s="626">
        <f t="shared" si="74"/>
        <v>1</v>
      </c>
      <c r="K607" s="597"/>
      <c r="L607" s="597"/>
      <c r="M607" s="598"/>
    </row>
    <row r="608" spans="1:13" x14ac:dyDescent="0.2">
      <c r="A608" s="12">
        <v>337</v>
      </c>
      <c r="B608" s="626">
        <f t="shared" si="67"/>
        <v>1.5966702679055391</v>
      </c>
      <c r="C608" s="172">
        <f t="shared" si="69"/>
        <v>2.0022594765887662</v>
      </c>
      <c r="D608" s="172">
        <f t="shared" si="70"/>
        <v>5.0160875838572885</v>
      </c>
      <c r="E608" s="626">
        <f t="shared" si="71"/>
        <v>1</v>
      </c>
      <c r="F608" s="597">
        <v>837</v>
      </c>
      <c r="G608" s="626">
        <f t="shared" si="68"/>
        <v>1.013135328506424</v>
      </c>
      <c r="H608" s="172">
        <f t="shared" si="72"/>
        <v>0.80616659929559642</v>
      </c>
      <c r="I608" s="172">
        <f t="shared" si="73"/>
        <v>3.1828585051280633</v>
      </c>
      <c r="J608" s="626">
        <f t="shared" si="74"/>
        <v>1</v>
      </c>
      <c r="K608" s="597"/>
      <c r="L608" s="597"/>
      <c r="M608" s="598"/>
    </row>
    <row r="609" spans="1:13" x14ac:dyDescent="0.2">
      <c r="A609" s="12">
        <v>338</v>
      </c>
      <c r="B609" s="626">
        <f t="shared" si="67"/>
        <v>1.5943065800545457</v>
      </c>
      <c r="C609" s="172">
        <f t="shared" si="69"/>
        <v>1.996335631983474</v>
      </c>
      <c r="D609" s="172">
        <f t="shared" si="70"/>
        <v>5.0086618394692284</v>
      </c>
      <c r="E609" s="626">
        <f t="shared" si="71"/>
        <v>1</v>
      </c>
      <c r="F609" s="597">
        <v>838</v>
      </c>
      <c r="G609" s="626">
        <f t="shared" si="68"/>
        <v>1.0125306520404396</v>
      </c>
      <c r="H609" s="172">
        <f t="shared" si="72"/>
        <v>0.80520458664727212</v>
      </c>
      <c r="I609" s="172">
        <f t="shared" si="73"/>
        <v>3.1809588579847281</v>
      </c>
      <c r="J609" s="626">
        <f t="shared" si="74"/>
        <v>1</v>
      </c>
      <c r="K609" s="597"/>
      <c r="L609" s="597"/>
      <c r="M609" s="598"/>
    </row>
    <row r="610" spans="1:13" x14ac:dyDescent="0.2">
      <c r="A610" s="12">
        <v>339</v>
      </c>
      <c r="B610" s="626">
        <f t="shared" si="67"/>
        <v>1.5919533587275441</v>
      </c>
      <c r="C610" s="172">
        <f t="shared" si="69"/>
        <v>1.9904467363139062</v>
      </c>
      <c r="D610" s="172">
        <f t="shared" si="70"/>
        <v>5.001268976636049</v>
      </c>
      <c r="E610" s="626">
        <f t="shared" si="71"/>
        <v>1</v>
      </c>
      <c r="F610" s="597">
        <v>839</v>
      </c>
      <c r="G610" s="626">
        <f t="shared" si="68"/>
        <v>1.0119270569632284</v>
      </c>
      <c r="H610" s="172">
        <f t="shared" si="72"/>
        <v>0.80424486723529687</v>
      </c>
      <c r="I610" s="172">
        <f t="shared" si="73"/>
        <v>3.1790626081244184</v>
      </c>
      <c r="J610" s="626">
        <f t="shared" si="74"/>
        <v>1</v>
      </c>
      <c r="K610" s="597"/>
      <c r="L610" s="597"/>
      <c r="M610" s="598"/>
    </row>
    <row r="611" spans="1:13" x14ac:dyDescent="0.2">
      <c r="A611" s="12">
        <v>340</v>
      </c>
      <c r="B611" s="626">
        <f t="shared" si="67"/>
        <v>1.5896105269080714</v>
      </c>
      <c r="C611" s="172">
        <f t="shared" si="69"/>
        <v>1.9845924812071012</v>
      </c>
      <c r="D611" s="172">
        <f t="shared" si="70"/>
        <v>4.9939087534033968</v>
      </c>
      <c r="E611" s="626">
        <f t="shared" si="71"/>
        <v>1</v>
      </c>
      <c r="F611" s="597">
        <v>840</v>
      </c>
      <c r="G611" s="626">
        <f t="shared" si="68"/>
        <v>1.0113245400554125</v>
      </c>
      <c r="H611" s="172">
        <f t="shared" si="72"/>
        <v>0.80328743286954074</v>
      </c>
      <c r="I611" s="172">
        <f t="shared" si="73"/>
        <v>3.1771697454331602</v>
      </c>
      <c r="J611" s="626">
        <f t="shared" si="74"/>
        <v>1</v>
      </c>
      <c r="K611" s="597"/>
      <c r="L611" s="597"/>
      <c r="M611" s="598"/>
    </row>
    <row r="612" spans="1:13" x14ac:dyDescent="0.2">
      <c r="A612" s="12">
        <v>341</v>
      </c>
      <c r="B612" s="626">
        <f t="shared" si="67"/>
        <v>1.5872780083707376</v>
      </c>
      <c r="C612" s="172">
        <f t="shared" si="69"/>
        <v>1.9787725619073731</v>
      </c>
      <c r="D612" s="172">
        <f t="shared" si="70"/>
        <v>4.9865809303021473</v>
      </c>
      <c r="E612" s="626">
        <f t="shared" si="71"/>
        <v>1</v>
      </c>
      <c r="F612" s="597">
        <v>841</v>
      </c>
      <c r="G612" s="626">
        <f t="shared" si="68"/>
        <v>1.0107230981110162</v>
      </c>
      <c r="H612" s="172">
        <f t="shared" si="72"/>
        <v>0.80233227539882801</v>
      </c>
      <c r="I612" s="172">
        <f t="shared" si="73"/>
        <v>3.1752802598390844</v>
      </c>
      <c r="J612" s="626">
        <f t="shared" si="74"/>
        <v>1</v>
      </c>
      <c r="K612" s="597"/>
      <c r="L612" s="597"/>
      <c r="M612" s="598"/>
    </row>
    <row r="613" spans="1:13" x14ac:dyDescent="0.2">
      <c r="A613" s="12">
        <v>342</v>
      </c>
      <c r="B613" s="626">
        <f t="shared" si="67"/>
        <v>1.5849557276708097</v>
      </c>
      <c r="C613" s="172">
        <f t="shared" si="69"/>
        <v>1.9729866772234335</v>
      </c>
      <c r="D613" s="172">
        <f t="shared" si="70"/>
        <v>4.9792852703156809</v>
      </c>
      <c r="E613" s="626">
        <f t="shared" si="71"/>
        <v>1</v>
      </c>
      <c r="F613" s="597">
        <v>842</v>
      </c>
      <c r="G613" s="626">
        <f t="shared" si="68"/>
        <v>1.0101227279373941</v>
      </c>
      <c r="H613" s="172">
        <f t="shared" si="72"/>
        <v>0.80137938671070552</v>
      </c>
      <c r="I613" s="172">
        <f t="shared" si="73"/>
        <v>3.1733941413121984</v>
      </c>
      <c r="J613" s="626">
        <f t="shared" si="74"/>
        <v>1</v>
      </c>
      <c r="K613" s="597"/>
      <c r="L613" s="597"/>
      <c r="M613" s="598"/>
    </row>
    <row r="614" spans="1:13" x14ac:dyDescent="0.2">
      <c r="A614" s="12">
        <v>343</v>
      </c>
      <c r="B614" s="626">
        <f t="shared" si="67"/>
        <v>1.5826436101339609</v>
      </c>
      <c r="C614" s="172">
        <f t="shared" si="69"/>
        <v>1.9672345294764264</v>
      </c>
      <c r="D614" s="172">
        <f t="shared" si="70"/>
        <v>4.9720215388476801</v>
      </c>
      <c r="E614" s="626">
        <f t="shared" si="71"/>
        <v>1</v>
      </c>
      <c r="F614" s="597">
        <v>843</v>
      </c>
      <c r="G614" s="626">
        <f t="shared" si="68"/>
        <v>1.0095234263551607</v>
      </c>
      <c r="H614" s="172">
        <f t="shared" si="72"/>
        <v>0.80042875873121488</v>
      </c>
      <c r="I614" s="172">
        <f t="shared" si="73"/>
        <v>3.1715113798641692</v>
      </c>
      <c r="J614" s="626">
        <f t="shared" si="74"/>
        <v>1</v>
      </c>
      <c r="K614" s="597"/>
      <c r="L614" s="597"/>
      <c r="M614" s="598"/>
    </row>
    <row r="615" spans="1:13" x14ac:dyDescent="0.2">
      <c r="A615" s="12">
        <v>344</v>
      </c>
      <c r="B615" s="626">
        <f t="shared" si="67"/>
        <v>1.5803415818461866</v>
      </c>
      <c r="C615" s="172">
        <f t="shared" si="69"/>
        <v>1.9615158244488782</v>
      </c>
      <c r="D615" s="172">
        <f t="shared" si="70"/>
        <v>4.9647895036904526</v>
      </c>
      <c r="E615" s="626">
        <f t="shared" si="71"/>
        <v>1</v>
      </c>
      <c r="F615" s="597">
        <v>844</v>
      </c>
      <c r="G615" s="626">
        <f t="shared" si="68"/>
        <v>1.0089251901981184</v>
      </c>
      <c r="H615" s="172">
        <f t="shared" si="72"/>
        <v>0.79948038342466166</v>
      </c>
      <c r="I615" s="172">
        <f t="shared" si="73"/>
        <v>3.1696319655480938</v>
      </c>
      <c r="J615" s="626">
        <f t="shared" si="74"/>
        <v>1</v>
      </c>
      <c r="K615" s="597"/>
      <c r="L615" s="597"/>
      <c r="M615" s="598"/>
    </row>
    <row r="616" spans="1:13" x14ac:dyDescent="0.2">
      <c r="A616" s="12">
        <v>345</v>
      </c>
      <c r="B616" s="626">
        <f t="shared" si="67"/>
        <v>1.578049569643879</v>
      </c>
      <c r="C616" s="172">
        <f t="shared" si="69"/>
        <v>1.9558302713345337</v>
      </c>
      <c r="D616" s="172">
        <f t="shared" si="70"/>
        <v>4.957588934993745</v>
      </c>
      <c r="E616" s="626">
        <f t="shared" si="71"/>
        <v>1</v>
      </c>
      <c r="F616" s="597">
        <v>845</v>
      </c>
      <c r="G616" s="626">
        <f t="shared" si="68"/>
        <v>1.008328016313188</v>
      </c>
      <c r="H616" s="172">
        <f t="shared" si="72"/>
        <v>0.79853425279338963</v>
      </c>
      <c r="I616" s="172">
        <f t="shared" si="73"/>
        <v>3.1677558884582804</v>
      </c>
      <c r="J616" s="626">
        <f t="shared" si="74"/>
        <v>1</v>
      </c>
      <c r="K616" s="597"/>
      <c r="L616" s="597"/>
      <c r="M616" s="598"/>
    </row>
    <row r="617" spans="1:13" x14ac:dyDescent="0.2">
      <c r="A617" s="12">
        <v>346</v>
      </c>
      <c r="B617" s="626">
        <f t="shared" si="67"/>
        <v>1.5757675011040611</v>
      </c>
      <c r="C617" s="172">
        <f t="shared" si="69"/>
        <v>1.9501775826890584</v>
      </c>
      <c r="D617" s="172">
        <f t="shared" si="70"/>
        <v>4.9504196052340648</v>
      </c>
      <c r="E617" s="626">
        <f t="shared" si="71"/>
        <v>1</v>
      </c>
      <c r="F617" s="597">
        <v>846</v>
      </c>
      <c r="G617" s="626">
        <f t="shared" si="68"/>
        <v>1.0077319015603392</v>
      </c>
      <c r="H617" s="172">
        <f t="shared" si="72"/>
        <v>0.79759035887755814</v>
      </c>
      <c r="I617" s="172">
        <f t="shared" si="73"/>
        <v>3.1658831387300341</v>
      </c>
      <c r="J617" s="626">
        <f t="shared" si="74"/>
        <v>1</v>
      </c>
      <c r="K617" s="597"/>
      <c r="L617" s="597"/>
      <c r="M617" s="598"/>
    </row>
    <row r="618" spans="1:13" x14ac:dyDescent="0.2">
      <c r="A618" s="12">
        <v>347</v>
      </c>
      <c r="B618" s="626">
        <f t="shared" si="67"/>
        <v>1.5734953045347746</v>
      </c>
      <c r="C618" s="172">
        <f t="shared" si="69"/>
        <v>1.9445574743815977</v>
      </c>
      <c r="D618" s="172">
        <f t="shared" si="70"/>
        <v>4.9432812891844824</v>
      </c>
      <c r="E618" s="626">
        <f t="shared" si="71"/>
        <v>1</v>
      </c>
      <c r="F618" s="597">
        <v>847</v>
      </c>
      <c r="G618" s="626">
        <f t="shared" si="68"/>
        <v>1.0071368428125207</v>
      </c>
      <c r="H618" s="172">
        <f t="shared" si="72"/>
        <v>0.79664869375491654</v>
      </c>
      <c r="I618" s="172">
        <f t="shared" si="73"/>
        <v>3.1640137065394334</v>
      </c>
      <c r="J618" s="626">
        <f t="shared" si="74"/>
        <v>1</v>
      </c>
      <c r="K618" s="597"/>
      <c r="L618" s="597"/>
      <c r="M618" s="598"/>
    </row>
    <row r="619" spans="1:13" x14ac:dyDescent="0.2">
      <c r="A619" s="12">
        <v>348</v>
      </c>
      <c r="B619" s="626">
        <f t="shared" si="67"/>
        <v>1.5712329089656205</v>
      </c>
      <c r="C619" s="172">
        <f t="shared" si="69"/>
        <v>1.9389696655471671</v>
      </c>
      <c r="D619" s="172">
        <f t="shared" si="70"/>
        <v>4.9361737638849137</v>
      </c>
      <c r="E619" s="626">
        <f t="shared" si="71"/>
        <v>1</v>
      </c>
      <c r="F619" s="597">
        <v>848</v>
      </c>
      <c r="G619" s="626">
        <f t="shared" si="68"/>
        <v>1.0065428369555911</v>
      </c>
      <c r="H619" s="172">
        <f t="shared" si="72"/>
        <v>0.79570924954058275</v>
      </c>
      <c r="I619" s="172">
        <f t="shared" si="73"/>
        <v>3.1621475821031138</v>
      </c>
      <c r="J619" s="626">
        <f t="shared" si="74"/>
        <v>1</v>
      </c>
      <c r="K619" s="597"/>
      <c r="L619" s="597"/>
      <c r="M619" s="598"/>
    </row>
    <row r="620" spans="1:13" x14ac:dyDescent="0.2">
      <c r="A620" s="12">
        <v>349</v>
      </c>
      <c r="B620" s="626">
        <f t="shared" si="67"/>
        <v>1.5689802441384493</v>
      </c>
      <c r="C620" s="172">
        <f t="shared" si="69"/>
        <v>1.9334138785398689</v>
      </c>
      <c r="D620" s="172">
        <f t="shared" si="70"/>
        <v>4.9290968086128721</v>
      </c>
      <c r="E620" s="626">
        <f t="shared" si="71"/>
        <v>1</v>
      </c>
      <c r="F620" s="597">
        <v>849</v>
      </c>
      <c r="G620" s="626">
        <f t="shared" si="68"/>
        <v>1.0059498808882514</v>
      </c>
      <c r="H620" s="172">
        <f t="shared" si="72"/>
        <v>0.79477201838682487</v>
      </c>
      <c r="I620" s="172">
        <f t="shared" si="73"/>
        <v>3.1602847556780582</v>
      </c>
      <c r="J620" s="626">
        <f t="shared" si="74"/>
        <v>1</v>
      </c>
      <c r="K620" s="597"/>
      <c r="L620" s="597"/>
      <c r="M620" s="598"/>
    </row>
    <row r="621" spans="1:13" x14ac:dyDescent="0.2">
      <c r="A621" s="12">
        <v>350</v>
      </c>
      <c r="B621" s="626">
        <f t="shared" si="67"/>
        <v>1.5667372404981954</v>
      </c>
      <c r="C621" s="172">
        <f t="shared" si="69"/>
        <v>1.9278898388868981</v>
      </c>
      <c r="D621" s="172">
        <f t="shared" si="70"/>
        <v>4.9220502048546759</v>
      </c>
      <c r="E621" s="626">
        <f t="shared" si="71"/>
        <v>1</v>
      </c>
      <c r="F621" s="597">
        <v>850</v>
      </c>
      <c r="G621" s="626">
        <f t="shared" si="68"/>
        <v>1.005357971521976</v>
      </c>
      <c r="H621" s="172">
        <f t="shared" si="72"/>
        <v>0.79383699248284034</v>
      </c>
      <c r="I621" s="172">
        <f t="shared" si="73"/>
        <v>3.1584252175613763</v>
      </c>
      <c r="J621" s="626">
        <f t="shared" si="74"/>
        <v>1</v>
      </c>
      <c r="K621" s="597"/>
      <c r="L621" s="597"/>
      <c r="M621" s="598"/>
    </row>
    <row r="622" spans="1:13" x14ac:dyDescent="0.2">
      <c r="A622" s="12">
        <v>351</v>
      </c>
      <c r="B622" s="626">
        <f t="shared" si="67"/>
        <v>1.564503829183858</v>
      </c>
      <c r="C622" s="172">
        <f t="shared" si="69"/>
        <v>1.9223972752433454</v>
      </c>
      <c r="D622" s="172">
        <f t="shared" si="70"/>
        <v>4.9150337362771088</v>
      </c>
      <c r="E622" s="626">
        <f t="shared" si="71"/>
        <v>1</v>
      </c>
      <c r="F622" s="597">
        <v>851</v>
      </c>
      <c r="G622" s="626">
        <f t="shared" si="68"/>
        <v>1.0047671057809457</v>
      </c>
      <c r="H622" s="172">
        <f t="shared" si="72"/>
        <v>0.79290416405454067</v>
      </c>
      <c r="I622" s="172">
        <f t="shared" si="73"/>
        <v>3.1565689580900975</v>
      </c>
      <c r="J622" s="626">
        <f t="shared" si="74"/>
        <v>1</v>
      </c>
      <c r="K622" s="597"/>
      <c r="L622" s="597"/>
      <c r="M622" s="598"/>
    </row>
    <row r="623" spans="1:13" x14ac:dyDescent="0.2">
      <c r="A623" s="12">
        <v>352</v>
      </c>
      <c r="B623" s="626">
        <f t="shared" si="67"/>
        <v>1.5622799420196216</v>
      </c>
      <c r="C623" s="172">
        <f t="shared" si="69"/>
        <v>1.9169359193477675</v>
      </c>
      <c r="D623" s="172">
        <f t="shared" si="70"/>
        <v>4.9080471886995314</v>
      </c>
      <c r="E623" s="626">
        <f t="shared" si="71"/>
        <v>1</v>
      </c>
      <c r="F623" s="597">
        <v>852</v>
      </c>
      <c r="G623" s="626">
        <f t="shared" si="68"/>
        <v>1.0041772806019806</v>
      </c>
      <c r="H623" s="172">
        <f t="shared" si="72"/>
        <v>0.79197352536433596</v>
      </c>
      <c r="I623" s="172">
        <f t="shared" si="73"/>
        <v>3.1547159676409589</v>
      </c>
      <c r="J623" s="626">
        <f t="shared" si="74"/>
        <v>1</v>
      </c>
      <c r="K623" s="597"/>
      <c r="L623" s="597"/>
      <c r="M623" s="598"/>
    </row>
    <row r="624" spans="1:13" x14ac:dyDescent="0.2">
      <c r="A624" s="12">
        <v>353</v>
      </c>
      <c r="B624" s="626">
        <f t="shared" si="67"/>
        <v>1.5600655115061148</v>
      </c>
      <c r="C624" s="172">
        <f t="shared" si="69"/>
        <v>1.9115055059785107</v>
      </c>
      <c r="D624" s="172">
        <f t="shared" si="70"/>
        <v>4.9010903500664131</v>
      </c>
      <c r="E624" s="626">
        <f t="shared" si="71"/>
        <v>1</v>
      </c>
      <c r="F624" s="597">
        <v>853</v>
      </c>
      <c r="G624" s="626">
        <f t="shared" si="68"/>
        <v>1.0035884929344729</v>
      </c>
      <c r="H624" s="172">
        <f t="shared" si="72"/>
        <v>0.79104506871091962</v>
      </c>
      <c r="I624" s="172">
        <f t="shared" si="73"/>
        <v>3.1528662366301923</v>
      </c>
      <c r="J624" s="626">
        <f t="shared" si="74"/>
        <v>1</v>
      </c>
      <c r="K624" s="597"/>
      <c r="L624" s="597"/>
      <c r="M624" s="598"/>
    </row>
    <row r="625" spans="1:13" x14ac:dyDescent="0.2">
      <c r="A625" s="12">
        <v>354</v>
      </c>
      <c r="B625" s="626">
        <f t="shared" si="67"/>
        <v>1.5578604708118053</v>
      </c>
      <c r="C625" s="172">
        <f t="shared" si="69"/>
        <v>1.9061057729107742</v>
      </c>
      <c r="D625" s="172">
        <f t="shared" si="70"/>
        <v>4.8941630104203036</v>
      </c>
      <c r="E625" s="626">
        <f t="shared" si="71"/>
        <v>1</v>
      </c>
      <c r="F625" s="597">
        <v>854</v>
      </c>
      <c r="G625" s="626">
        <f t="shared" si="68"/>
        <v>1.0030007397403209</v>
      </c>
      <c r="H625" s="172">
        <f t="shared" si="72"/>
        <v>0.79011878642905631</v>
      </c>
      <c r="I625" s="172">
        <f t="shared" si="73"/>
        <v>3.1510197555133201</v>
      </c>
      <c r="J625" s="626">
        <f t="shared" si="74"/>
        <v>1</v>
      </c>
      <c r="K625" s="597"/>
      <c r="L625" s="597"/>
      <c r="M625" s="598"/>
    </row>
    <row r="626" spans="1:13" x14ac:dyDescent="0.2">
      <c r="A626" s="12">
        <v>355</v>
      </c>
      <c r="B626" s="626">
        <f t="shared" si="67"/>
        <v>1.5556647537645292</v>
      </c>
      <c r="C626" s="172">
        <f t="shared" si="69"/>
        <v>1.900736460874406</v>
      </c>
      <c r="D626" s="172">
        <f t="shared" si="70"/>
        <v>4.8872649618752195</v>
      </c>
      <c r="E626" s="626">
        <f t="shared" si="71"/>
        <v>1</v>
      </c>
      <c r="F626" s="597">
        <v>855</v>
      </c>
      <c r="G626" s="626">
        <f t="shared" si="68"/>
        <v>1.0024140179938639</v>
      </c>
      <c r="H626" s="172">
        <f t="shared" si="72"/>
        <v>0.78919467088937345</v>
      </c>
      <c r="I626" s="172">
        <f t="shared" si="73"/>
        <v>3.1491765147849495</v>
      </c>
      <c r="J626" s="626">
        <f t="shared" si="74"/>
        <v>1</v>
      </c>
      <c r="K626" s="597"/>
      <c r="L626" s="597"/>
      <c r="M626" s="598"/>
    </row>
    <row r="627" spans="1:13" x14ac:dyDescent="0.2">
      <c r="A627" s="12">
        <v>356</v>
      </c>
      <c r="B627" s="626">
        <f t="shared" si="67"/>
        <v>1.5534782948431491</v>
      </c>
      <c r="C627" s="172">
        <f t="shared" si="69"/>
        <v>1.8953973135123996</v>
      </c>
      <c r="D627" s="172">
        <f t="shared" si="70"/>
        <v>4.8803959985904362</v>
      </c>
      <c r="E627" s="626">
        <f t="shared" si="71"/>
        <v>1</v>
      </c>
      <c r="F627" s="597">
        <v>856</v>
      </c>
      <c r="G627" s="626">
        <f t="shared" si="68"/>
        <v>1.0018283246818149</v>
      </c>
      <c r="H627" s="172">
        <f t="shared" si="72"/>
        <v>0.78827271449814729</v>
      </c>
      <c r="I627" s="172">
        <f t="shared" si="73"/>
        <v>3.14733650497856</v>
      </c>
      <c r="J627" s="626">
        <f t="shared" si="74"/>
        <v>1</v>
      </c>
      <c r="K627" s="597"/>
      <c r="L627" s="597"/>
      <c r="M627" s="598"/>
    </row>
    <row r="628" spans="1:13" x14ac:dyDescent="0.2">
      <c r="A628" s="12">
        <v>357</v>
      </c>
      <c r="B628" s="626">
        <f t="shared" si="67"/>
        <v>1.551301029169343</v>
      </c>
      <c r="C628" s="172">
        <f t="shared" si="69"/>
        <v>1.8900880773400961</v>
      </c>
      <c r="D628" s="172">
        <f t="shared" si="70"/>
        <v>4.8735559167446931</v>
      </c>
      <c r="E628" s="626">
        <f t="shared" si="71"/>
        <v>1</v>
      </c>
      <c r="F628" s="597">
        <v>857</v>
      </c>
      <c r="G628" s="626">
        <f t="shared" si="68"/>
        <v>1.0012436568031982</v>
      </c>
      <c r="H628" s="172">
        <f t="shared" si="72"/>
        <v>0.78735290969709926</v>
      </c>
      <c r="I628" s="172">
        <f t="shared" si="73"/>
        <v>3.1454997166663072</v>
      </c>
      <c r="J628" s="626">
        <f t="shared" si="74"/>
        <v>1</v>
      </c>
      <c r="K628" s="597"/>
      <c r="L628" s="597"/>
      <c r="M628" s="598"/>
    </row>
    <row r="629" spans="1:13" x14ac:dyDescent="0.2">
      <c r="A629" s="12">
        <v>358</v>
      </c>
      <c r="B629" s="626">
        <f t="shared" si="67"/>
        <v>1.5491328924995185</v>
      </c>
      <c r="C629" s="172">
        <f t="shared" si="69"/>
        <v>1.8848085017050678</v>
      </c>
      <c r="D629" s="172">
        <f t="shared" si="70"/>
        <v>4.8667445145107937</v>
      </c>
      <c r="E629" s="626">
        <f t="shared" si="71"/>
        <v>1</v>
      </c>
      <c r="F629" s="597">
        <v>858</v>
      </c>
      <c r="G629" s="626">
        <f t="shared" si="68"/>
        <v>1.0006600113692823</v>
      </c>
      <c r="H629" s="172">
        <f t="shared" si="72"/>
        <v>0.78643524896318673</v>
      </c>
      <c r="I629" s="172">
        <f t="shared" si="73"/>
        <v>3.1436661404588162</v>
      </c>
      <c r="J629" s="626">
        <f t="shared" si="74"/>
        <v>1</v>
      </c>
      <c r="K629" s="597"/>
      <c r="L629" s="597"/>
      <c r="M629" s="598"/>
    </row>
    <row r="630" spans="1:13" x14ac:dyDescent="0.2">
      <c r="A630" s="12">
        <v>359</v>
      </c>
      <c r="B630" s="626">
        <f t="shared" si="67"/>
        <v>1.5469738212168507</v>
      </c>
      <c r="C630" s="172">
        <f t="shared" si="69"/>
        <v>1.8795583387476722</v>
      </c>
      <c r="D630" s="172">
        <f t="shared" si="70"/>
        <v>4.8599615920305883</v>
      </c>
      <c r="E630" s="626">
        <f t="shared" si="71"/>
        <v>1</v>
      </c>
      <c r="F630" s="597">
        <v>859</v>
      </c>
      <c r="G630" s="626">
        <f t="shared" si="68"/>
        <v>1.0000773854035174</v>
      </c>
      <c r="H630" s="172">
        <f t="shared" si="72"/>
        <v>0.78551972480839838</v>
      </c>
      <c r="I630" s="172">
        <f t="shared" si="73"/>
        <v>3.1418357670049786</v>
      </c>
      <c r="J630" s="626">
        <f t="shared" si="74"/>
        <v>1</v>
      </c>
      <c r="K630" s="597"/>
      <c r="L630" s="597"/>
      <c r="M630" s="598"/>
    </row>
    <row r="631" spans="1:13" x14ac:dyDescent="0.2">
      <c r="A631" s="12">
        <v>360</v>
      </c>
      <c r="B631" s="626">
        <f t="shared" si="67"/>
        <v>1.5448237523234423</v>
      </c>
      <c r="C631" s="172">
        <f t="shared" si="69"/>
        <v>1.8743373433622612</v>
      </c>
      <c r="D631" s="172">
        <f t="shared" si="70"/>
        <v>4.8532069513903444</v>
      </c>
      <c r="E631" s="626">
        <f t="shared" si="71"/>
        <v>1</v>
      </c>
      <c r="F631" s="597">
        <v>860</v>
      </c>
      <c r="G631" s="626">
        <f t="shared" si="68"/>
        <v>0.99949577594147088</v>
      </c>
      <c r="H631" s="172">
        <f t="shared" si="72"/>
        <v>0.78460632977955136</v>
      </c>
      <c r="I631" s="172">
        <f t="shared" si="73"/>
        <v>3.1400085869917547</v>
      </c>
      <c r="J631" s="626">
        <f t="shared" si="74"/>
        <v>1</v>
      </c>
      <c r="K631" s="597"/>
      <c r="L631" s="597"/>
      <c r="M631" s="598"/>
    </row>
    <row r="632" spans="1:13" x14ac:dyDescent="0.2">
      <c r="A632" s="12">
        <v>361</v>
      </c>
      <c r="B632" s="626">
        <f t="shared" si="67"/>
        <v>1.5426826234326037</v>
      </c>
      <c r="C632" s="172">
        <f t="shared" si="69"/>
        <v>1.8691452731590423</v>
      </c>
      <c r="D632" s="172">
        <f t="shared" si="70"/>
        <v>4.8464803965964967</v>
      </c>
      <c r="E632" s="626">
        <f t="shared" si="71"/>
        <v>1</v>
      </c>
      <c r="F632" s="597">
        <v>861</v>
      </c>
      <c r="G632" s="626">
        <f t="shared" si="68"/>
        <v>0.99891518003076429</v>
      </c>
      <c r="H632" s="172">
        <f t="shared" si="72"/>
        <v>0.78369505645808846</v>
      </c>
      <c r="I632" s="172">
        <f t="shared" si="73"/>
        <v>3.1381845911439745</v>
      </c>
      <c r="J632" s="626">
        <f t="shared" si="74"/>
        <v>1</v>
      </c>
      <c r="K632" s="597"/>
      <c r="L632" s="597"/>
      <c r="M632" s="598"/>
    </row>
    <row r="633" spans="1:13" x14ac:dyDescent="0.2">
      <c r="A633" s="12">
        <v>362</v>
      </c>
      <c r="B633" s="626">
        <f t="shared" si="67"/>
        <v>1.540550372761248</v>
      </c>
      <c r="C633" s="172">
        <f t="shared" si="69"/>
        <v>1.8639818884265582</v>
      </c>
      <c r="D633" s="172">
        <f t="shared" si="70"/>
        <v>4.8397817335517539</v>
      </c>
      <c r="E633" s="626">
        <f t="shared" si="71"/>
        <v>1</v>
      </c>
      <c r="F633" s="597">
        <v>862</v>
      </c>
      <c r="G633" s="626">
        <f t="shared" si="68"/>
        <v>0.9983355947310103</v>
      </c>
      <c r="H633" s="172">
        <f t="shared" si="72"/>
        <v>0.78278589745987737</v>
      </c>
      <c r="I633" s="172">
        <f t="shared" si="73"/>
        <v>3.1363637702241389</v>
      </c>
      <c r="J633" s="626">
        <f t="shared" si="74"/>
        <v>1</v>
      </c>
      <c r="K633" s="597"/>
      <c r="L633" s="597"/>
      <c r="M633" s="598"/>
    </row>
    <row r="634" spans="1:13" x14ac:dyDescent="0.2">
      <c r="A634" s="12">
        <v>363</v>
      </c>
      <c r="B634" s="626">
        <f t="shared" si="67"/>
        <v>1.5384269391224057</v>
      </c>
      <c r="C634" s="172">
        <f t="shared" si="69"/>
        <v>1.858846952094805</v>
      </c>
      <c r="D634" s="172">
        <f t="shared" si="70"/>
        <v>4.8331107700315812</v>
      </c>
      <c r="E634" s="626">
        <f t="shared" si="71"/>
        <v>1</v>
      </c>
      <c r="F634" s="597">
        <v>863</v>
      </c>
      <c r="G634" s="626">
        <f t="shared" si="68"/>
        <v>0.99775701711374987</v>
      </c>
      <c r="H634" s="172">
        <f t="shared" si="72"/>
        <v>0.78187884543501074</v>
      </c>
      <c r="I634" s="172">
        <f t="shared" si="73"/>
        <v>3.1345461150322222</v>
      </c>
      <c r="J634" s="626">
        <f t="shared" si="74"/>
        <v>1</v>
      </c>
      <c r="K634" s="597"/>
      <c r="L634" s="597"/>
      <c r="M634" s="598"/>
    </row>
    <row r="635" spans="1:13" x14ac:dyDescent="0.2">
      <c r="A635" s="12">
        <v>364</v>
      </c>
      <c r="B635" s="626">
        <f t="shared" si="67"/>
        <v>1.536312261917848</v>
      </c>
      <c r="C635" s="172">
        <f t="shared" si="69"/>
        <v>1.8537402296989398</v>
      </c>
      <c r="D635" s="172">
        <f t="shared" si="70"/>
        <v>4.8264673156610289</v>
      </c>
      <c r="E635" s="626">
        <f t="shared" si="71"/>
        <v>1</v>
      </c>
      <c r="F635" s="597">
        <v>864</v>
      </c>
      <c r="G635" s="626">
        <f t="shared" si="68"/>
        <v>0.99717944426239058</v>
      </c>
      <c r="H635" s="172">
        <f t="shared" si="72"/>
        <v>0.780973893067609</v>
      </c>
      <c r="I635" s="172">
        <f t="shared" si="73"/>
        <v>3.1327316164054788</v>
      </c>
      <c r="J635" s="626">
        <f t="shared" si="74"/>
        <v>1</v>
      </c>
      <c r="K635" s="597"/>
      <c r="L635" s="597"/>
      <c r="M635" s="598"/>
    </row>
    <row r="636" spans="1:13" x14ac:dyDescent="0.2">
      <c r="A636" s="12">
        <v>365</v>
      </c>
      <c r="B636" s="626">
        <f t="shared" si="67"/>
        <v>1.5342062811308244</v>
      </c>
      <c r="C636" s="172">
        <f t="shared" si="69"/>
        <v>1.8486614893436006</v>
      </c>
      <c r="D636" s="172">
        <f t="shared" si="70"/>
        <v>4.8198511818919147</v>
      </c>
      <c r="E636" s="626">
        <f t="shared" si="71"/>
        <v>1</v>
      </c>
      <c r="F636" s="597">
        <v>865</v>
      </c>
      <c r="G636" s="626">
        <f t="shared" si="68"/>
        <v>0.99660287327214481</v>
      </c>
      <c r="H636" s="172">
        <f t="shared" si="72"/>
        <v>0.78007103307562331</v>
      </c>
      <c r="I636" s="172">
        <f t="shared" si="73"/>
        <v>3.1309202652182497</v>
      </c>
      <c r="J636" s="626">
        <f t="shared" si="74"/>
        <v>1</v>
      </c>
      <c r="K636" s="597"/>
      <c r="L636" s="597"/>
      <c r="M636" s="598"/>
    </row>
    <row r="637" spans="1:13" x14ac:dyDescent="0.2">
      <c r="A637" s="12">
        <v>366</v>
      </c>
      <c r="B637" s="626">
        <f t="shared" si="67"/>
        <v>1.5321089373189076</v>
      </c>
      <c r="C637" s="172">
        <f t="shared" si="69"/>
        <v>1.8436105016677984</v>
      </c>
      <c r="D637" s="172">
        <f t="shared" si="70"/>
        <v>4.8132621819803454</v>
      </c>
      <c r="E637" s="626">
        <f t="shared" si="71"/>
        <v>1</v>
      </c>
      <c r="F637" s="597">
        <v>866</v>
      </c>
      <c r="G637" s="626">
        <f t="shared" si="68"/>
        <v>0.99602730124996797</v>
      </c>
      <c r="H637" s="172">
        <f t="shared" si="72"/>
        <v>0.77917025821064001</v>
      </c>
      <c r="I637" s="172">
        <f t="shared" si="73"/>
        <v>3.129112052381767</v>
      </c>
      <c r="J637" s="626">
        <f t="shared" si="74"/>
        <v>1</v>
      </c>
      <c r="K637" s="597"/>
      <c r="L637" s="597"/>
      <c r="M637" s="598"/>
    </row>
    <row r="638" spans="1:13" x14ac:dyDescent="0.2">
      <c r="A638" s="12">
        <v>367</v>
      </c>
      <c r="B638" s="626">
        <f t="shared" si="67"/>
        <v>1.5300201716069484</v>
      </c>
      <c r="C638" s="172">
        <f t="shared" si="69"/>
        <v>1.8385870398103934</v>
      </c>
      <c r="D638" s="172">
        <f t="shared" si="70"/>
        <v>4.8067001309645834</v>
      </c>
      <c r="E638" s="626">
        <f t="shared" si="71"/>
        <v>1</v>
      </c>
      <c r="F638" s="597">
        <v>867</v>
      </c>
      <c r="G638" s="626">
        <f t="shared" si="68"/>
        <v>0.9954527253144978</v>
      </c>
      <c r="H638" s="172">
        <f t="shared" si="72"/>
        <v>0.77827156125768637</v>
      </c>
      <c r="I638" s="172">
        <f t="shared" si="73"/>
        <v>3.1273069688439645</v>
      </c>
      <c r="J638" s="626">
        <f t="shared" si="74"/>
        <v>1</v>
      </c>
      <c r="K638" s="597"/>
      <c r="L638" s="597"/>
      <c r="M638" s="598"/>
    </row>
    <row r="639" spans="1:13" x14ac:dyDescent="0.2">
      <c r="A639" s="12">
        <v>368</v>
      </c>
      <c r="B639" s="626">
        <f t="shared" si="67"/>
        <v>1.5279399256801312</v>
      </c>
      <c r="C639" s="172">
        <f t="shared" si="69"/>
        <v>1.8335908793761253</v>
      </c>
      <c r="D639" s="172">
        <f t="shared" si="70"/>
        <v>4.8001648456432342</v>
      </c>
      <c r="E639" s="626">
        <f t="shared" si="71"/>
        <v>1</v>
      </c>
      <c r="F639" s="597">
        <v>868</v>
      </c>
      <c r="G639" s="626">
        <f t="shared" si="68"/>
        <v>0.99487914259599408</v>
      </c>
      <c r="H639" s="172">
        <f t="shared" si="72"/>
        <v>0.7773749350350394</v>
      </c>
      <c r="I639" s="172">
        <f t="shared" si="73"/>
        <v>3.1255050055892872</v>
      </c>
      <c r="J639" s="626">
        <f t="shared" si="74"/>
        <v>1</v>
      </c>
      <c r="K639" s="597"/>
      <c r="L639" s="597"/>
      <c r="M639" s="598"/>
    </row>
    <row r="640" spans="1:13" x14ac:dyDescent="0.2">
      <c r="A640" s="12">
        <v>369</v>
      </c>
      <c r="B640" s="626">
        <f t="shared" si="67"/>
        <v>1.5258681417771394</v>
      </c>
      <c r="C640" s="172">
        <f t="shared" si="69"/>
        <v>1.8286217984022068</v>
      </c>
      <c r="D640" s="172">
        <f t="shared" si="70"/>
        <v>4.7936561445537702</v>
      </c>
      <c r="E640" s="626">
        <f t="shared" si="71"/>
        <v>1</v>
      </c>
      <c r="F640" s="597">
        <v>869</v>
      </c>
      <c r="G640" s="626">
        <f t="shared" si="68"/>
        <v>0.99430655023627779</v>
      </c>
      <c r="H640" s="172">
        <f t="shared" si="72"/>
        <v>0.77648037239403256</v>
      </c>
      <c r="I640" s="172">
        <f t="shared" si="73"/>
        <v>3.1237061536385009</v>
      </c>
      <c r="J640" s="626">
        <f t="shared" si="74"/>
        <v>1</v>
      </c>
      <c r="K640" s="597"/>
      <c r="L640" s="597"/>
      <c r="M640" s="598"/>
    </row>
    <row r="641" spans="1:13" x14ac:dyDescent="0.2">
      <c r="A641" s="12">
        <v>370</v>
      </c>
      <c r="B641" s="626">
        <f t="shared" si="67"/>
        <v>1.5238047626834161</v>
      </c>
      <c r="C641" s="172">
        <f t="shared" si="69"/>
        <v>1.8236795773254437</v>
      </c>
      <c r="D641" s="172">
        <f t="shared" si="70"/>
        <v>4.7871738479513581</v>
      </c>
      <c r="E641" s="626">
        <f t="shared" si="71"/>
        <v>1</v>
      </c>
      <c r="F641" s="597">
        <v>870</v>
      </c>
      <c r="G641" s="626">
        <f t="shared" si="68"/>
        <v>0.99373494538867169</v>
      </c>
      <c r="H641" s="172">
        <f t="shared" si="72"/>
        <v>0.77558786621886677</v>
      </c>
      <c r="I641" s="172">
        <f t="shared" si="73"/>
        <v>3.1219104040485051</v>
      </c>
      <c r="J641" s="626">
        <f t="shared" si="74"/>
        <v>1</v>
      </c>
      <c r="K641" s="597"/>
      <c r="L641" s="597"/>
      <c r="M641" s="598"/>
    </row>
    <row r="642" spans="1:13" x14ac:dyDescent="0.2">
      <c r="A642" s="12">
        <v>371</v>
      </c>
      <c r="B642" s="626">
        <f t="shared" si="67"/>
        <v>1.5217497317245301</v>
      </c>
      <c r="C642" s="172">
        <f t="shared" si="69"/>
        <v>1.8187639989499036</v>
      </c>
      <c r="D642" s="172">
        <f t="shared" si="70"/>
        <v>4.7807177777880225</v>
      </c>
      <c r="E642" s="626">
        <f t="shared" si="71"/>
        <v>1</v>
      </c>
      <c r="F642" s="597">
        <v>871</v>
      </c>
      <c r="G642" s="626">
        <f t="shared" si="68"/>
        <v>0.99316432521794118</v>
      </c>
      <c r="H642" s="172">
        <f t="shared" si="72"/>
        <v>0.77469740942642273</v>
      </c>
      <c r="I642" s="172">
        <f t="shared" si="73"/>
        <v>3.1201177479121482</v>
      </c>
      <c r="J642" s="626">
        <f t="shared" si="74"/>
        <v>1</v>
      </c>
      <c r="K642" s="597"/>
      <c r="L642" s="597"/>
      <c r="M642" s="598"/>
    </row>
    <row r="643" spans="1:13" x14ac:dyDescent="0.2">
      <c r="A643" s="12">
        <v>372</v>
      </c>
      <c r="B643" s="626">
        <f t="shared" si="67"/>
        <v>1.5197029927596359</v>
      </c>
      <c r="C643" s="172">
        <f t="shared" si="69"/>
        <v>1.8138748484150922</v>
      </c>
      <c r="D643" s="172">
        <f t="shared" si="70"/>
        <v>4.774287757692095</v>
      </c>
      <c r="E643" s="626">
        <f t="shared" si="71"/>
        <v>1</v>
      </c>
      <c r="F643" s="597">
        <v>872</v>
      </c>
      <c r="G643" s="626">
        <f t="shared" si="68"/>
        <v>0.99259468690023445</v>
      </c>
      <c r="H643" s="172">
        <f t="shared" si="72"/>
        <v>0.77380899496607125</v>
      </c>
      <c r="I643" s="172">
        <f t="shared" si="73"/>
        <v>3.1183281763580375</v>
      </c>
      <c r="J643" s="626">
        <f t="shared" si="74"/>
        <v>1</v>
      </c>
      <c r="K643" s="597"/>
      <c r="L643" s="597"/>
      <c r="M643" s="598"/>
    </row>
    <row r="644" spans="1:13" x14ac:dyDescent="0.2">
      <c r="A644" s="12">
        <v>373</v>
      </c>
      <c r="B644" s="626">
        <f t="shared" si="67"/>
        <v>1.5176644901750334</v>
      </c>
      <c r="C644" s="172">
        <f t="shared" si="69"/>
        <v>1.8090119131646494</v>
      </c>
      <c r="D644" s="172">
        <f t="shared" si="70"/>
        <v>4.7678836129479834</v>
      </c>
      <c r="E644" s="626">
        <f t="shared" si="71"/>
        <v>1</v>
      </c>
      <c r="F644" s="597">
        <v>873</v>
      </c>
      <c r="G644" s="626">
        <f t="shared" si="68"/>
        <v>0.9920260276230245</v>
      </c>
      <c r="H644" s="172">
        <f t="shared" si="72"/>
        <v>0.7729226158194894</v>
      </c>
      <c r="I644" s="172">
        <f t="shared" si="73"/>
        <v>3.116541680550359</v>
      </c>
      <c r="J644" s="626">
        <f t="shared" si="74"/>
        <v>1</v>
      </c>
      <c r="K644" s="597"/>
      <c r="L644" s="597"/>
      <c r="M644" s="598"/>
    </row>
    <row r="645" spans="1:13" x14ac:dyDescent="0.2">
      <c r="A645" s="12">
        <v>374</v>
      </c>
      <c r="B645" s="626">
        <f t="shared" si="67"/>
        <v>1.5156341688778199</v>
      </c>
      <c r="C645" s="172">
        <f t="shared" si="69"/>
        <v>1.804174982915546</v>
      </c>
      <c r="D645" s="172">
        <f t="shared" si="70"/>
        <v>4.761505170476231</v>
      </c>
      <c r="E645" s="626">
        <f t="shared" si="71"/>
        <v>1</v>
      </c>
      <c r="F645" s="597">
        <v>874</v>
      </c>
      <c r="G645" s="626">
        <f t="shared" si="68"/>
        <v>0.99145834458505033</v>
      </c>
      <c r="H645" s="172">
        <f t="shared" si="72"/>
        <v>0.77203826500047401</v>
      </c>
      <c r="I645" s="172">
        <f t="shared" si="73"/>
        <v>3.1147582516886918</v>
      </c>
      <c r="J645" s="626">
        <f t="shared" si="74"/>
        <v>1</v>
      </c>
      <c r="K645" s="597"/>
      <c r="L645" s="597"/>
      <c r="M645" s="598"/>
    </row>
    <row r="646" spans="1:13" x14ac:dyDescent="0.2">
      <c r="A646" s="12">
        <v>375</v>
      </c>
      <c r="B646" s="626">
        <f t="shared" si="67"/>
        <v>1.5136119742896372</v>
      </c>
      <c r="C646" s="172">
        <f t="shared" si="69"/>
        <v>1.7993638496277713</v>
      </c>
      <c r="D646" s="172">
        <f t="shared" si="70"/>
        <v>4.755152258813867</v>
      </c>
      <c r="E646" s="626">
        <f t="shared" si="71"/>
        <v>1</v>
      </c>
      <c r="F646" s="597">
        <v>875</v>
      </c>
      <c r="G646" s="626">
        <f t="shared" si="68"/>
        <v>0.99089163499625932</v>
      </c>
      <c r="H646" s="172">
        <f t="shared" si="72"/>
        <v>0.77115593555475914</v>
      </c>
      <c r="I646" s="172">
        <f t="shared" si="73"/>
        <v>3.112977881007827</v>
      </c>
      <c r="J646" s="626">
        <f t="shared" si="74"/>
        <v>1</v>
      </c>
      <c r="K646" s="597"/>
      <c r="L646" s="597"/>
      <c r="M646" s="598"/>
    </row>
    <row r="647" spans="1:13" x14ac:dyDescent="0.2">
      <c r="A647" s="12">
        <v>376</v>
      </c>
      <c r="B647" s="626">
        <f t="shared" si="67"/>
        <v>1.5115978523405089</v>
      </c>
      <c r="C647" s="172">
        <f t="shared" si="69"/>
        <v>1.7945783074745059</v>
      </c>
      <c r="D647" s="172">
        <f t="shared" si="70"/>
        <v>4.7488247080950519</v>
      </c>
      <c r="E647" s="626">
        <f t="shared" si="71"/>
        <v>1</v>
      </c>
      <c r="F647" s="597">
        <v>876</v>
      </c>
      <c r="G647" s="626">
        <f t="shared" si="68"/>
        <v>0.99032589607774946</v>
      </c>
      <c r="H647" s="172">
        <f t="shared" si="72"/>
        <v>0.77027562055983356</v>
      </c>
      <c r="I647" s="172">
        <f t="shared" si="73"/>
        <v>3.1112005597775867</v>
      </c>
      <c r="J647" s="626">
        <f t="shared" si="74"/>
        <v>1</v>
      </c>
      <c r="K647" s="597"/>
      <c r="L647" s="597"/>
      <c r="M647" s="598"/>
    </row>
    <row r="648" spans="1:13" x14ac:dyDescent="0.2">
      <c r="A648" s="12">
        <v>377</v>
      </c>
      <c r="B648" s="626">
        <f t="shared" si="67"/>
        <v>1.5095917494627682</v>
      </c>
      <c r="C648" s="172">
        <f t="shared" si="69"/>
        <v>1.7898181528127699</v>
      </c>
      <c r="D648" s="172">
        <f t="shared" si="70"/>
        <v>4.7425223500319964</v>
      </c>
      <c r="E648" s="626">
        <f t="shared" si="71"/>
        <v>1</v>
      </c>
      <c r="F648" s="597">
        <v>877</v>
      </c>
      <c r="G648" s="626">
        <f t="shared" si="68"/>
        <v>0.98976112506171221</v>
      </c>
      <c r="H648" s="172">
        <f t="shared" si="72"/>
        <v>0.76939731312475956</v>
      </c>
      <c r="I648" s="172">
        <f t="shared" si="73"/>
        <v>3.1094262793026437</v>
      </c>
      <c r="J648" s="626">
        <f t="shared" si="74"/>
        <v>1</v>
      </c>
      <c r="K648" s="597"/>
      <c r="L648" s="597"/>
      <c r="M648" s="598"/>
    </row>
    <row r="649" spans="1:13" x14ac:dyDescent="0.2">
      <c r="A649" s="12">
        <v>378</v>
      </c>
      <c r="B649" s="626">
        <f t="shared" si="67"/>
        <v>1.5075936125850742</v>
      </c>
      <c r="C649" s="172">
        <f t="shared" si="69"/>
        <v>1.7850831841545349</v>
      </c>
      <c r="D649" s="172">
        <f t="shared" si="70"/>
        <v>4.7362450178961657</v>
      </c>
      <c r="E649" s="626">
        <f t="shared" si="71"/>
        <v>1</v>
      </c>
      <c r="F649" s="597">
        <v>878</v>
      </c>
      <c r="G649" s="626">
        <f t="shared" si="68"/>
        <v>0.98919731919137566</v>
      </c>
      <c r="H649" s="172">
        <f t="shared" si="72"/>
        <v>0.76852100638999343</v>
      </c>
      <c r="I649" s="172">
        <f t="shared" si="73"/>
        <v>3.1076550309223436</v>
      </c>
      <c r="J649" s="626">
        <f t="shared" si="74"/>
        <v>1</v>
      </c>
      <c r="K649" s="597"/>
      <c r="L649" s="597"/>
      <c r="M649" s="598"/>
    </row>
    <row r="650" spans="1:13" x14ac:dyDescent="0.2">
      <c r="A650" s="12">
        <v>379</v>
      </c>
      <c r="B650" s="626">
        <f t="shared" si="67"/>
        <v>1.505603389126515</v>
      </c>
      <c r="C650" s="172">
        <f t="shared" si="69"/>
        <v>1.7803732021382963</v>
      </c>
      <c r="D650" s="172">
        <f t="shared" si="70"/>
        <v>4.7299925464997541</v>
      </c>
      <c r="E650" s="626">
        <f t="shared" si="71"/>
        <v>1</v>
      </c>
      <c r="F650" s="597">
        <v>879</v>
      </c>
      <c r="G650" s="626">
        <f t="shared" si="68"/>
        <v>0.98863447572094765</v>
      </c>
      <c r="H650" s="172">
        <f t="shared" si="72"/>
        <v>0.76764669352720616</v>
      </c>
      <c r="I650" s="172">
        <f t="shared" si="73"/>
        <v>3.1058868060105258</v>
      </c>
      <c r="J650" s="626">
        <f t="shared" si="74"/>
        <v>1</v>
      </c>
      <c r="K650" s="597"/>
      <c r="L650" s="597"/>
      <c r="M650" s="598"/>
    </row>
    <row r="651" spans="1:13" x14ac:dyDescent="0.2">
      <c r="A651" s="12">
        <v>380</v>
      </c>
      <c r="B651" s="626">
        <f t="shared" si="67"/>
        <v>1.5036210269907957</v>
      </c>
      <c r="C651" s="172">
        <f t="shared" si="69"/>
        <v>1.7756880095010901</v>
      </c>
      <c r="D651" s="172">
        <f t="shared" si="70"/>
        <v>4.7237647721774234</v>
      </c>
      <c r="E651" s="626">
        <f t="shared" si="71"/>
        <v>1</v>
      </c>
      <c r="F651" s="597">
        <v>880</v>
      </c>
      <c r="G651" s="626">
        <f t="shared" si="68"/>
        <v>0.98807259191556007</v>
      </c>
      <c r="H651" s="172">
        <f t="shared" si="72"/>
        <v>0.76677436773910701</v>
      </c>
      <c r="I651" s="172">
        <f t="shared" si="73"/>
        <v>3.1041215959753492</v>
      </c>
      <c r="J651" s="626">
        <f t="shared" si="74"/>
        <v>1</v>
      </c>
      <c r="K651" s="597"/>
      <c r="L651" s="597"/>
      <c r="M651" s="598"/>
    </row>
    <row r="652" spans="1:13" x14ac:dyDescent="0.2">
      <c r="A652" s="12">
        <v>381</v>
      </c>
      <c r="B652" s="626">
        <f t="shared" si="67"/>
        <v>1.5016464745605116</v>
      </c>
      <c r="C652" s="172">
        <f t="shared" si="69"/>
        <v>1.7710274110509561</v>
      </c>
      <c r="D652" s="172">
        <f t="shared" si="70"/>
        <v>4.7175615327683156</v>
      </c>
      <c r="E652" s="626">
        <f t="shared" si="71"/>
        <v>1</v>
      </c>
      <c r="F652" s="597">
        <v>881</v>
      </c>
      <c r="G652" s="626">
        <f t="shared" si="68"/>
        <v>0.98751166505121302</v>
      </c>
      <c r="H652" s="172">
        <f t="shared" si="72"/>
        <v>0.76590402225926701</v>
      </c>
      <c r="I652" s="172">
        <f t="shared" si="73"/>
        <v>3.1023593922591153</v>
      </c>
      <c r="J652" s="626">
        <f t="shared" si="74"/>
        <v>1</v>
      </c>
      <c r="K652" s="597"/>
      <c r="L652" s="597"/>
      <c r="M652" s="598"/>
    </row>
    <row r="653" spans="1:13" x14ac:dyDescent="0.2">
      <c r="A653" s="12">
        <v>382</v>
      </c>
      <c r="B653" s="626">
        <f t="shared" si="67"/>
        <v>1.4996796806915023</v>
      </c>
      <c r="C653" s="172">
        <f t="shared" si="69"/>
        <v>1.7663912136398281</v>
      </c>
      <c r="D653" s="172">
        <f t="shared" si="70"/>
        <v>4.7113826675983104</v>
      </c>
      <c r="E653" s="626">
        <f t="shared" si="71"/>
        <v>1</v>
      </c>
      <c r="F653" s="597">
        <v>882</v>
      </c>
      <c r="G653" s="626">
        <f t="shared" si="68"/>
        <v>0.98695169241471881</v>
      </c>
      <c r="H653" s="172">
        <f t="shared" si="72"/>
        <v>0.76503565035194354</v>
      </c>
      <c r="I653" s="172">
        <f t="shared" si="73"/>
        <v>3.1006001863380939</v>
      </c>
      <c r="J653" s="626">
        <f t="shared" si="74"/>
        <v>1</v>
      </c>
      <c r="K653" s="597"/>
      <c r="L653" s="597"/>
      <c r="M653" s="598"/>
    </row>
    <row r="654" spans="1:13" x14ac:dyDescent="0.2">
      <c r="A654" s="12">
        <v>383</v>
      </c>
      <c r="B654" s="626">
        <f t="shared" si="67"/>
        <v>1.497720594707288</v>
      </c>
      <c r="C654" s="172">
        <f t="shared" si="69"/>
        <v>1.7617792261368517</v>
      </c>
      <c r="D654" s="172">
        <f t="shared" si="70"/>
        <v>4.7052280174625523</v>
      </c>
      <c r="E654" s="626">
        <f t="shared" si="71"/>
        <v>1</v>
      </c>
      <c r="F654" s="597">
        <v>883</v>
      </c>
      <c r="G654" s="626">
        <f t="shared" si="68"/>
        <v>0.98639267130364761</v>
      </c>
      <c r="H654" s="172">
        <f t="shared" si="72"/>
        <v>0.76416924531190733</v>
      </c>
      <c r="I654" s="172">
        <f t="shared" si="73"/>
        <v>3.0988439697223509</v>
      </c>
      <c r="J654" s="626">
        <f t="shared" si="74"/>
        <v>1</v>
      </c>
      <c r="K654" s="597"/>
      <c r="L654" s="597"/>
      <c r="M654" s="598"/>
    </row>
    <row r="655" spans="1:13" x14ac:dyDescent="0.2">
      <c r="A655" s="12">
        <v>384</v>
      </c>
      <c r="B655" s="626">
        <f t="shared" si="67"/>
        <v>1.4957691663935859</v>
      </c>
      <c r="C655" s="172">
        <f t="shared" si="69"/>
        <v>1.7571912594021202</v>
      </c>
      <c r="D655" s="172">
        <f t="shared" si="70"/>
        <v>4.699097424608218</v>
      </c>
      <c r="E655" s="626">
        <f t="shared" si="71"/>
        <v>1</v>
      </c>
      <c r="F655" s="597">
        <v>884</v>
      </c>
      <c r="G655" s="626">
        <f t="shared" si="68"/>
        <v>0.98583459902627213</v>
      </c>
      <c r="H655" s="172">
        <f t="shared" si="72"/>
        <v>0.76330480046426952</v>
      </c>
      <c r="I655" s="172">
        <f t="shared" si="73"/>
        <v>3.097090733955576</v>
      </c>
      <c r="J655" s="626">
        <f t="shared" si="74"/>
        <v>1</v>
      </c>
      <c r="K655" s="597"/>
      <c r="L655" s="597"/>
      <c r="M655" s="598"/>
    </row>
    <row r="656" spans="1:13" x14ac:dyDescent="0.2">
      <c r="A656" s="12">
        <v>385</v>
      </c>
      <c r="B656" s="626">
        <f t="shared" ref="B656:B719" si="75">SQRT(PI()*$I$266*$I$264/SQRT(3)/A656)</f>
        <v>1.4938253459929036</v>
      </c>
      <c r="C656" s="172">
        <f t="shared" si="69"/>
        <v>1.7526271262608162</v>
      </c>
      <c r="D656" s="172">
        <f t="shared" si="70"/>
        <v>4.6929907327175373</v>
      </c>
      <c r="E656" s="626">
        <f t="shared" si="71"/>
        <v>1</v>
      </c>
      <c r="F656" s="597">
        <v>885</v>
      </c>
      <c r="G656" s="626">
        <f t="shared" ref="G656:G719" si="76">SQRT(PI()*$I$266*$I$264/SQRT(3)/F656)</f>
        <v>0.98527747290151313</v>
      </c>
      <c r="H656" s="172">
        <f t="shared" si="72"/>
        <v>0.76244230916430977</v>
      </c>
      <c r="I656" s="172">
        <f t="shared" si="73"/>
        <v>3.0953404706149099</v>
      </c>
      <c r="J656" s="626">
        <f t="shared" si="74"/>
        <v>1</v>
      </c>
      <c r="K656" s="597"/>
      <c r="L656" s="597"/>
      <c r="M656" s="598"/>
    </row>
    <row r="657" spans="1:13" x14ac:dyDescent="0.2">
      <c r="A657" s="12">
        <v>386</v>
      </c>
      <c r="B657" s="626">
        <f t="shared" si="75"/>
        <v>1.4918890841992105</v>
      </c>
      <c r="C657" s="172">
        <f t="shared" ref="C657:C720" si="77">PI()*B657^2/4</f>
        <v>1.7480866414777572</v>
      </c>
      <c r="D657" s="172">
        <f t="shared" ref="D657:D720" si="78">PI()*B657</f>
        <v>4.6869077868910445</v>
      </c>
      <c r="E657" s="626">
        <f t="shared" ref="E657:E720" si="79">IF(A657&lt;=$C$265,(D657*$I$265/PI()^2/C657)*SQRT(A657/$B$265),IF(A657&lt;$B$265,($C$270-$B$270)/($C$265-$B$265)*A657+($C$265*$B$270-$B$265*$C$270)/($C$265-$B$265),IF(A657=$B$265,0.45*SQRT(D657/$I$265),IF(A657&lt;$D$265,($B$270-$D$270)/($B$265-$D$265)*A657+($B$265*$D$270-$D$265*$B$270)/($B$265-$D$265),1))))</f>
        <v>1</v>
      </c>
      <c r="F657" s="597">
        <v>886</v>
      </c>
      <c r="G657" s="626">
        <f t="shared" si="76"/>
        <v>0.984721290258886</v>
      </c>
      <c r="H657" s="172">
        <f t="shared" si="72"/>
        <v>0.76158176479730721</v>
      </c>
      <c r="I657" s="172">
        <f t="shared" si="73"/>
        <v>3.0935931713107787</v>
      </c>
      <c r="J657" s="626">
        <f t="shared" si="74"/>
        <v>1</v>
      </c>
      <c r="K657" s="597"/>
      <c r="L657" s="597"/>
      <c r="M657" s="598"/>
    </row>
    <row r="658" spans="1:13" x14ac:dyDescent="0.2">
      <c r="A658" s="12">
        <v>387</v>
      </c>
      <c r="B658" s="626">
        <f t="shared" si="75"/>
        <v>1.4899603321526853</v>
      </c>
      <c r="C658" s="172">
        <f t="shared" si="77"/>
        <v>1.7435696217323366</v>
      </c>
      <c r="D658" s="172">
        <f t="shared" si="78"/>
        <v>4.680848433631084</v>
      </c>
      <c r="E658" s="626">
        <f t="shared" si="79"/>
        <v>1</v>
      </c>
      <c r="F658" s="597">
        <v>887</v>
      </c>
      <c r="G658" s="626">
        <f t="shared" si="76"/>
        <v>0.98416604843844613</v>
      </c>
      <c r="H658" s="172">
        <f t="shared" si="72"/>
        <v>0.7607231607783701</v>
      </c>
      <c r="I658" s="172">
        <f t="shared" si="73"/>
        <v>3.0918488276867189</v>
      </c>
      <c r="J658" s="626">
        <f t="shared" si="74"/>
        <v>1</v>
      </c>
      <c r="K658" s="597"/>
      <c r="L658" s="597"/>
      <c r="M658" s="598"/>
    </row>
    <row r="659" spans="1:13" x14ac:dyDescent="0.2">
      <c r="A659" s="12">
        <v>388</v>
      </c>
      <c r="B659" s="626">
        <f t="shared" si="75"/>
        <v>1.4880390414345368</v>
      </c>
      <c r="C659" s="172">
        <f t="shared" si="77"/>
        <v>1.7390758855938511</v>
      </c>
      <c r="D659" s="172">
        <f t="shared" si="78"/>
        <v>4.6748125208255384</v>
      </c>
      <c r="E659" s="626">
        <f t="shared" si="79"/>
        <v>1</v>
      </c>
      <c r="F659" s="597">
        <v>888</v>
      </c>
      <c r="G659" s="626">
        <f t="shared" si="76"/>
        <v>0.98361174479073599</v>
      </c>
      <c r="H659" s="172">
        <f t="shared" si="72"/>
        <v>0.75986649055226829</v>
      </c>
      <c r="I659" s="172">
        <f t="shared" si="73"/>
        <v>3.0901074314192147</v>
      </c>
      <c r="J659" s="626">
        <f t="shared" si="74"/>
        <v>1</v>
      </c>
      <c r="K659" s="597"/>
      <c r="L659" s="597"/>
      <c r="M659" s="598"/>
    </row>
    <row r="660" spans="1:13" x14ac:dyDescent="0.2">
      <c r="A660" s="12">
        <v>389</v>
      </c>
      <c r="B660" s="626">
        <f t="shared" si="75"/>
        <v>1.4861251640618995</v>
      </c>
      <c r="C660" s="172">
        <f t="shared" si="77"/>
        <v>1.7346052534972087</v>
      </c>
      <c r="D660" s="172">
        <f t="shared" si="78"/>
        <v>4.6687998977317893</v>
      </c>
      <c r="E660" s="626">
        <f t="shared" si="79"/>
        <v>1</v>
      </c>
      <c r="F660" s="597">
        <v>889</v>
      </c>
      <c r="G660" s="626">
        <f t="shared" si="76"/>
        <v>0.9830583766767319</v>
      </c>
      <c r="H660" s="172">
        <f t="shared" si="72"/>
        <v>0.75901174759326684</v>
      </c>
      <c r="I660" s="172">
        <f t="shared" si="73"/>
        <v>3.0883689742175284</v>
      </c>
      <c r="J660" s="626">
        <f t="shared" si="74"/>
        <v>1</v>
      </c>
      <c r="K660" s="597"/>
      <c r="L660" s="597"/>
      <c r="M660" s="598"/>
    </row>
    <row r="661" spans="1:13" x14ac:dyDescent="0.2">
      <c r="A661" s="12">
        <v>390</v>
      </c>
      <c r="B661" s="626">
        <f t="shared" si="75"/>
        <v>1.4842186524828003</v>
      </c>
      <c r="C661" s="172">
        <f t="shared" si="77"/>
        <v>1.7301575477190114</v>
      </c>
      <c r="D661" s="172">
        <f t="shared" si="78"/>
        <v>4.6628104149609078</v>
      </c>
      <c r="E661" s="626">
        <f t="shared" si="79"/>
        <v>1</v>
      </c>
      <c r="F661" s="597">
        <v>890</v>
      </c>
      <c r="G661" s="626">
        <f t="shared" si="76"/>
        <v>0.98250594146779147</v>
      </c>
      <c r="H661" s="172">
        <f t="shared" si="72"/>
        <v>0.75815892540495988</v>
      </c>
      <c r="I661" s="172">
        <f t="shared" si="73"/>
        <v>3.0866334478235369</v>
      </c>
      <c r="J661" s="626">
        <f t="shared" si="74"/>
        <v>1</v>
      </c>
      <c r="K661" s="597"/>
      <c r="L661" s="597"/>
      <c r="M661" s="598"/>
    </row>
    <row r="662" spans="1:13" x14ac:dyDescent="0.2">
      <c r="A662" s="12">
        <v>391</v>
      </c>
      <c r="B662" s="626">
        <f t="shared" si="75"/>
        <v>1.482319459571195</v>
      </c>
      <c r="C662" s="172">
        <f t="shared" si="77"/>
        <v>1.7257325923540006</v>
      </c>
      <c r="D662" s="172">
        <f t="shared" si="78"/>
        <v>4.6568439244620583</v>
      </c>
      <c r="E662" s="626">
        <f t="shared" si="79"/>
        <v>1</v>
      </c>
      <c r="F662" s="597">
        <v>891</v>
      </c>
      <c r="G662" s="626">
        <f t="shared" si="76"/>
        <v>0.98195443654560066</v>
      </c>
      <c r="H662" s="172">
        <f t="shared" si="72"/>
        <v>0.75730801752010579</v>
      </c>
      <c r="I662" s="172">
        <f t="shared" si="73"/>
        <v>3.0849008440115635</v>
      </c>
      <c r="J662" s="626">
        <f t="shared" si="74"/>
        <v>1</v>
      </c>
      <c r="K662" s="597"/>
      <c r="L662" s="597"/>
      <c r="M662" s="598"/>
    </row>
    <row r="663" spans="1:13" x14ac:dyDescent="0.2">
      <c r="A663" s="12">
        <v>392</v>
      </c>
      <c r="B663" s="626">
        <f t="shared" si="75"/>
        <v>1.4804275386220784</v>
      </c>
      <c r="C663" s="172">
        <f t="shared" si="77"/>
        <v>1.7213302132918735</v>
      </c>
      <c r="D663" s="172">
        <f t="shared" si="78"/>
        <v>4.650900279507141</v>
      </c>
      <c r="E663" s="626">
        <f t="shared" si="79"/>
        <v>1</v>
      </c>
      <c r="F663" s="597">
        <v>892</v>
      </c>
      <c r="G663" s="626">
        <f t="shared" si="76"/>
        <v>0.98140385930212226</v>
      </c>
      <c r="H663" s="172">
        <f t="shared" si="72"/>
        <v>0.7564590175004644</v>
      </c>
      <c r="I663" s="172">
        <f t="shared" si="73"/>
        <v>3.0831711545882183</v>
      </c>
      <c r="J663" s="626">
        <f t="shared" si="74"/>
        <v>1</v>
      </c>
      <c r="K663" s="597"/>
      <c r="L663" s="597"/>
      <c r="M663" s="598"/>
    </row>
    <row r="664" spans="1:13" x14ac:dyDescent="0.2">
      <c r="A664" s="12">
        <v>393</v>
      </c>
      <c r="B664" s="626">
        <f t="shared" si="75"/>
        <v>1.4785428433466565</v>
      </c>
      <c r="C664" s="172">
        <f t="shared" si="77"/>
        <v>1.7169502381944384</v>
      </c>
      <c r="D664" s="172">
        <f t="shared" si="78"/>
        <v>4.6449793346756207</v>
      </c>
      <c r="E664" s="626">
        <f t="shared" si="79"/>
        <v>1</v>
      </c>
      <c r="F664" s="597">
        <v>893</v>
      </c>
      <c r="G664" s="626">
        <f t="shared" si="76"/>
        <v>0.98085420713954352</v>
      </c>
      <c r="H664" s="172">
        <f t="shared" si="72"/>
        <v>0.75561191893663393</v>
      </c>
      <c r="I664" s="172">
        <f t="shared" si="73"/>
        <v>3.081444371392231</v>
      </c>
      <c r="J664" s="626">
        <f t="shared" si="74"/>
        <v>1</v>
      </c>
      <c r="K664" s="597"/>
      <c r="L664" s="597"/>
      <c r="M664" s="598"/>
    </row>
    <row r="665" spans="1:13" x14ac:dyDescent="0.2">
      <c r="A665" s="12">
        <v>394</v>
      </c>
      <c r="B665" s="626">
        <f t="shared" si="75"/>
        <v>1.4766653278675934</v>
      </c>
      <c r="C665" s="172">
        <f t="shared" si="77"/>
        <v>1.7125924964731327</v>
      </c>
      <c r="D665" s="172">
        <f t="shared" si="78"/>
        <v>4.639080945839595</v>
      </c>
      <c r="E665" s="626">
        <f t="shared" si="79"/>
        <v>1</v>
      </c>
      <c r="F665" s="597">
        <v>894</v>
      </c>
      <c r="G665" s="626">
        <f t="shared" si="76"/>
        <v>0.98030547747022534</v>
      </c>
      <c r="H665" s="172">
        <f t="shared" si="72"/>
        <v>0.75476671544789076</v>
      </c>
      <c r="I665" s="172">
        <f t="shared" si="73"/>
        <v>3.0797204862942942</v>
      </c>
      <c r="J665" s="626">
        <f t="shared" si="74"/>
        <v>1</v>
      </c>
      <c r="K665" s="597"/>
      <c r="L665" s="597"/>
      <c r="M665" s="598"/>
    </row>
    <row r="666" spans="1:13" x14ac:dyDescent="0.2">
      <c r="A666" s="12">
        <v>395</v>
      </c>
      <c r="B666" s="626">
        <f t="shared" si="75"/>
        <v>1.4747949467143182</v>
      </c>
      <c r="C666" s="172">
        <f t="shared" si="77"/>
        <v>1.7082568192668717</v>
      </c>
      <c r="D666" s="172">
        <f t="shared" si="78"/>
        <v>4.6332049701490527</v>
      </c>
      <c r="E666" s="626">
        <f t="shared" si="79"/>
        <v>1</v>
      </c>
      <c r="F666" s="597">
        <v>895</v>
      </c>
      <c r="G666" s="626">
        <f t="shared" si="76"/>
        <v>0.97975766771665018</v>
      </c>
      <c r="H666" s="172">
        <f t="shared" si="72"/>
        <v>0.75392340068202712</v>
      </c>
      <c r="I666" s="172">
        <f t="shared" si="73"/>
        <v>3.077999491196898</v>
      </c>
      <c r="J666" s="626">
        <f t="shared" si="74"/>
        <v>1</v>
      </c>
      <c r="K666" s="597"/>
      <c r="L666" s="597"/>
      <c r="M666" s="598"/>
    </row>
    <row r="667" spans="1:13" x14ac:dyDescent="0.2">
      <c r="A667" s="12">
        <v>396</v>
      </c>
      <c r="B667" s="626">
        <f t="shared" si="75"/>
        <v>1.472931654818401</v>
      </c>
      <c r="C667" s="172">
        <f t="shared" si="77"/>
        <v>1.7039430394202379</v>
      </c>
      <c r="D667" s="172">
        <f t="shared" si="78"/>
        <v>4.6273512660173459</v>
      </c>
      <c r="E667" s="626">
        <f t="shared" si="79"/>
        <v>1</v>
      </c>
      <c r="F667" s="597">
        <v>896</v>
      </c>
      <c r="G667" s="626">
        <f t="shared" si="76"/>
        <v>0.97921077531137202</v>
      </c>
      <c r="H667" s="172">
        <f t="shared" si="72"/>
        <v>0.75308196831519436</v>
      </c>
      <c r="I667" s="172">
        <f t="shared" si="73"/>
        <v>3.0762813780341718</v>
      </c>
      <c r="J667" s="626">
        <f t="shared" si="74"/>
        <v>1</v>
      </c>
      <c r="K667" s="597"/>
      <c r="L667" s="597"/>
      <c r="M667" s="598"/>
    </row>
    <row r="668" spans="1:13" x14ac:dyDescent="0.2">
      <c r="A668" s="12">
        <v>397</v>
      </c>
      <c r="B668" s="626">
        <f t="shared" si="75"/>
        <v>1.4710754075089916</v>
      </c>
      <c r="C668" s="172">
        <f t="shared" si="77"/>
        <v>1.6996509914620008</v>
      </c>
      <c r="D668" s="172">
        <f t="shared" si="78"/>
        <v>4.6215196931068592</v>
      </c>
      <c r="E668" s="626">
        <f t="shared" si="79"/>
        <v>1</v>
      </c>
      <c r="F668" s="597">
        <v>897</v>
      </c>
      <c r="G668" s="626">
        <f t="shared" si="76"/>
        <v>0.97866479769696579</v>
      </c>
      <c r="H668" s="172">
        <f t="shared" si="72"/>
        <v>0.7522424120517438</v>
      </c>
      <c r="I668" s="172">
        <f t="shared" si="73"/>
        <v>3.0745661387717287</v>
      </c>
      <c r="J668" s="626">
        <f t="shared" si="74"/>
        <v>1</v>
      </c>
      <c r="K668" s="597"/>
      <c r="L668" s="597"/>
      <c r="M668" s="598"/>
    </row>
    <row r="669" spans="1:13" x14ac:dyDescent="0.2">
      <c r="A669" s="12">
        <v>398</v>
      </c>
      <c r="B669" s="626">
        <f t="shared" si="75"/>
        <v>1.469226160508321</v>
      </c>
      <c r="C669" s="172">
        <f t="shared" si="77"/>
        <v>1.6953805115839553</v>
      </c>
      <c r="D669" s="172">
        <f t="shared" si="78"/>
        <v>4.6157101123148792</v>
      </c>
      <c r="E669" s="626">
        <f t="shared" si="79"/>
        <v>1</v>
      </c>
      <c r="F669" s="597">
        <v>898</v>
      </c>
      <c r="G669" s="626">
        <f t="shared" si="76"/>
        <v>0.97811973232597649</v>
      </c>
      <c r="H669" s="172">
        <f t="shared" ref="H669:H732" si="80">PI()*G669^2/4</f>
        <v>0.75140472562406935</v>
      </c>
      <c r="I669" s="172">
        <f t="shared" ref="I669:I732" si="81">PI()*G669</f>
        <v>3.0728537654065025</v>
      </c>
      <c r="J669" s="626">
        <f t="shared" ref="J669:J732" si="82">IF(F669&lt;=$C$265,(I669*$I$265/PI()^2/H669)*SQRT(F669/$B$265),IF(F669&lt;$B$265,($C$270-$B$270)/($C$265-$B$265)*F669+($C$265*$B$270-$B$265*$C$270)/($C$265-$B$265),IF(F669=$B$265,0.45*SQRT(I669/$I$265),IF(F669&lt;$D$265,($B$270-$D$270)/($B$265-$D$265)*F669+($B$265*$D$270-$D$265*$B$270)/($B$265-$D$265),1))))</f>
        <v>1</v>
      </c>
      <c r="K669" s="597"/>
      <c r="L669" s="597"/>
      <c r="M669" s="598"/>
    </row>
    <row r="670" spans="1:13" x14ac:dyDescent="0.2">
      <c r="A670" s="12">
        <v>399</v>
      </c>
      <c r="B670" s="626">
        <f t="shared" si="75"/>
        <v>1.4673838699272659</v>
      </c>
      <c r="C670" s="172">
        <f t="shared" si="77"/>
        <v>1.6911314376200859</v>
      </c>
      <c r="D670" s="172">
        <f t="shared" si="78"/>
        <v>4.609922385759659</v>
      </c>
      <c r="E670" s="626">
        <f t="shared" si="79"/>
        <v>1</v>
      </c>
      <c r="F670" s="597">
        <v>899</v>
      </c>
      <c r="G670" s="626">
        <f t="shared" si="76"/>
        <v>0.9775755766608698</v>
      </c>
      <c r="H670" s="172">
        <f t="shared" si="80"/>
        <v>0.75056890279245192</v>
      </c>
      <c r="I670" s="172">
        <f t="shared" si="81"/>
        <v>3.0711442499665944</v>
      </c>
      <c r="J670" s="626">
        <f t="shared" si="82"/>
        <v>1</v>
      </c>
      <c r="K670" s="597"/>
      <c r="L670" s="597"/>
      <c r="M670" s="598"/>
    </row>
    <row r="671" spans="1:13" x14ac:dyDescent="0.2">
      <c r="A671" s="12">
        <v>400</v>
      </c>
      <c r="B671" s="626">
        <f t="shared" si="75"/>
        <v>1.4655484922609734</v>
      </c>
      <c r="C671" s="172">
        <f t="shared" si="77"/>
        <v>1.6869036090260354</v>
      </c>
      <c r="D671" s="172">
        <f t="shared" si="78"/>
        <v>4.6041563767666718</v>
      </c>
      <c r="E671" s="626">
        <f t="shared" si="79"/>
        <v>1</v>
      </c>
      <c r="F671" s="597">
        <v>900</v>
      </c>
      <c r="G671" s="626">
        <f t="shared" si="76"/>
        <v>0.97703232817398233</v>
      </c>
      <c r="H671" s="172">
        <f t="shared" si="80"/>
        <v>0.74973493734490482</v>
      </c>
      <c r="I671" s="172">
        <f t="shared" si="81"/>
        <v>3.0694375845111148</v>
      </c>
      <c r="J671" s="626">
        <f t="shared" si="82"/>
        <v>1</v>
      </c>
      <c r="K671" s="597"/>
      <c r="L671" s="597"/>
      <c r="M671" s="598"/>
    </row>
    <row r="672" spans="1:13" x14ac:dyDescent="0.2">
      <c r="A672" s="12">
        <v>401</v>
      </c>
      <c r="B672" s="626">
        <f t="shared" si="75"/>
        <v>1.4637199843845461</v>
      </c>
      <c r="C672" s="172">
        <f t="shared" si="77"/>
        <v>1.6826968668588884</v>
      </c>
      <c r="D672" s="172">
        <f t="shared" si="78"/>
        <v>4.5984119498550564</v>
      </c>
      <c r="E672" s="626">
        <f t="shared" si="79"/>
        <v>1</v>
      </c>
      <c r="F672" s="597">
        <v>901</v>
      </c>
      <c r="G672" s="626">
        <f t="shared" si="76"/>
        <v>0.97648998434747236</v>
      </c>
      <c r="H672" s="172">
        <f t="shared" si="80"/>
        <v>0.74890282309701917</v>
      </c>
      <c r="I672" s="172">
        <f t="shared" si="81"/>
        <v>3.067733761130031</v>
      </c>
      <c r="J672" s="626">
        <f t="shared" si="82"/>
        <v>1</v>
      </c>
      <c r="K672" s="597"/>
      <c r="L672" s="597"/>
      <c r="M672" s="598"/>
    </row>
    <row r="673" spans="1:13" x14ac:dyDescent="0.2">
      <c r="A673" s="12">
        <v>402</v>
      </c>
      <c r="B673" s="626">
        <f t="shared" si="75"/>
        <v>1.461898303548786</v>
      </c>
      <c r="C673" s="172">
        <f t="shared" si="77"/>
        <v>1.6785110537572496</v>
      </c>
      <c r="D673" s="172">
        <f t="shared" si="78"/>
        <v>4.5926889707242475</v>
      </c>
      <c r="E673" s="626">
        <f t="shared" si="79"/>
        <v>1</v>
      </c>
      <c r="F673" s="597">
        <v>902</v>
      </c>
      <c r="G673" s="626">
        <f t="shared" si="76"/>
        <v>0.97594854267327069</v>
      </c>
      <c r="H673" s="172">
        <f t="shared" si="80"/>
        <v>0.74807255389181171</v>
      </c>
      <c r="I673" s="172">
        <f t="shared" si="81"/>
        <v>3.0660327719440121</v>
      </c>
      <c r="J673" s="626">
        <f t="shared" si="82"/>
        <v>1</v>
      </c>
      <c r="K673" s="597"/>
      <c r="L673" s="597"/>
      <c r="M673" s="598"/>
    </row>
    <row r="674" spans="1:13" x14ac:dyDescent="0.2">
      <c r="A674" s="12">
        <v>403</v>
      </c>
      <c r="B674" s="626">
        <f t="shared" si="75"/>
        <v>1.4600834073759972</v>
      </c>
      <c r="C674" s="172">
        <f t="shared" si="77"/>
        <v>1.6743460139216235</v>
      </c>
      <c r="D674" s="172">
        <f t="shared" si="78"/>
        <v>4.5869873062407862</v>
      </c>
      <c r="E674" s="626">
        <f t="shared" si="79"/>
        <v>1</v>
      </c>
      <c r="F674" s="597">
        <v>903</v>
      </c>
      <c r="G674" s="626">
        <f t="shared" si="76"/>
        <v>0.97540800065303224</v>
      </c>
      <c r="H674" s="172">
        <f t="shared" si="80"/>
        <v>0.74724412359957282</v>
      </c>
      <c r="I674" s="172">
        <f t="shared" si="81"/>
        <v>3.0643346091042742</v>
      </c>
      <c r="J674" s="626">
        <f t="shared" si="82"/>
        <v>1</v>
      </c>
      <c r="K674" s="597"/>
      <c r="L674" s="597"/>
      <c r="M674" s="598"/>
    </row>
    <row r="675" spans="1:13" x14ac:dyDescent="0.2">
      <c r="A675" s="12">
        <v>404</v>
      </c>
      <c r="B675" s="626">
        <f t="shared" si="75"/>
        <v>1.458275253855845</v>
      </c>
      <c r="C675" s="172">
        <f t="shared" si="77"/>
        <v>1.6702015930950846</v>
      </c>
      <c r="D675" s="172">
        <f t="shared" si="78"/>
        <v>4.5813068244253135</v>
      </c>
      <c r="E675" s="626">
        <f t="shared" si="79"/>
        <v>1</v>
      </c>
      <c r="F675" s="597">
        <v>904</v>
      </c>
      <c r="G675" s="626">
        <f t="shared" si="76"/>
        <v>0.97486835579808706</v>
      </c>
      <c r="H675" s="172">
        <f t="shared" si="80"/>
        <v>0.74641752611771484</v>
      </c>
      <c r="I675" s="172">
        <f t="shared" si="81"/>
        <v>3.062639264792431</v>
      </c>
      <c r="J675" s="626">
        <f t="shared" si="82"/>
        <v>1</v>
      </c>
      <c r="K675" s="597"/>
      <c r="L675" s="597"/>
      <c r="M675" s="598"/>
    </row>
    <row r="676" spans="1:13" x14ac:dyDescent="0.2">
      <c r="A676" s="12">
        <v>405</v>
      </c>
      <c r="B676" s="626">
        <f t="shared" si="75"/>
        <v>1.4564738013412715</v>
      </c>
      <c r="C676" s="172">
        <f t="shared" si="77"/>
        <v>1.6660776385442326</v>
      </c>
      <c r="D676" s="172">
        <f t="shared" si="78"/>
        <v>4.5756473944397378</v>
      </c>
      <c r="E676" s="626">
        <f t="shared" si="79"/>
        <v>1</v>
      </c>
      <c r="F676" s="597">
        <v>905</v>
      </c>
      <c r="G676" s="626">
        <f t="shared" si="76"/>
        <v>0.97432960562939286</v>
      </c>
      <c r="H676" s="172">
        <f t="shared" si="80"/>
        <v>0.74559275537062353</v>
      </c>
      <c r="I676" s="172">
        <f t="shared" si="81"/>
        <v>3.0609467312203411</v>
      </c>
      <c r="J676" s="626">
        <f t="shared" si="82"/>
        <v>1</v>
      </c>
      <c r="K676" s="597"/>
      <c r="L676" s="597"/>
      <c r="M676" s="598"/>
    </row>
    <row r="677" spans="1:13" x14ac:dyDescent="0.2">
      <c r="A677" s="12">
        <v>406</v>
      </c>
      <c r="B677" s="626">
        <f t="shared" si="75"/>
        <v>1.4546790085444672</v>
      </c>
      <c r="C677" s="172">
        <f t="shared" si="77"/>
        <v>1.6619739990404292</v>
      </c>
      <c r="D677" s="172">
        <f t="shared" si="78"/>
        <v>4.5700088865745823</v>
      </c>
      <c r="E677" s="626">
        <f t="shared" si="79"/>
        <v>1</v>
      </c>
      <c r="F677" s="597">
        <v>906</v>
      </c>
      <c r="G677" s="626">
        <f t="shared" si="76"/>
        <v>0.97379174767748655</v>
      </c>
      <c r="H677" s="172">
        <f t="shared" si="80"/>
        <v>0.74476980530950787</v>
      </c>
      <c r="I677" s="172">
        <f t="shared" si="81"/>
        <v>3.0592570006299571</v>
      </c>
      <c r="J677" s="626">
        <f t="shared" si="82"/>
        <v>1</v>
      </c>
      <c r="K677" s="597"/>
      <c r="L677" s="597"/>
      <c r="M677" s="598"/>
    </row>
    <row r="678" spans="1:13" x14ac:dyDescent="0.2">
      <c r="A678" s="12">
        <v>407</v>
      </c>
      <c r="B678" s="626">
        <f t="shared" si="75"/>
        <v>1.4528908345328952</v>
      </c>
      <c r="C678" s="172">
        <f t="shared" si="77"/>
        <v>1.6578905248413125</v>
      </c>
      <c r="D678" s="172">
        <f t="shared" si="78"/>
        <v>4.5643911722364878</v>
      </c>
      <c r="E678" s="626">
        <f t="shared" si="79"/>
        <v>1</v>
      </c>
      <c r="F678" s="597">
        <v>907</v>
      </c>
      <c r="G678" s="626">
        <f t="shared" si="76"/>
        <v>0.97325477948243744</v>
      </c>
      <c r="H678" s="172">
        <f t="shared" si="80"/>
        <v>0.74394866991225383</v>
      </c>
      <c r="I678" s="172">
        <f t="shared" si="81"/>
        <v>3.0575700652931794</v>
      </c>
      <c r="J678" s="626">
        <f t="shared" si="82"/>
        <v>1</v>
      </c>
      <c r="K678" s="597"/>
      <c r="L678" s="597"/>
      <c r="M678" s="598"/>
    </row>
    <row r="679" spans="1:13" x14ac:dyDescent="0.2">
      <c r="A679" s="12">
        <v>408</v>
      </c>
      <c r="B679" s="626">
        <f t="shared" si="75"/>
        <v>1.4511092387253726</v>
      </c>
      <c r="C679" s="172">
        <f t="shared" si="77"/>
        <v>1.6538270676725841</v>
      </c>
      <c r="D679" s="172">
        <f t="shared" si="78"/>
        <v>4.5587941239359075</v>
      </c>
      <c r="E679" s="626">
        <f t="shared" si="79"/>
        <v>1</v>
      </c>
      <c r="F679" s="597">
        <v>908</v>
      </c>
      <c r="G679" s="626">
        <f t="shared" si="76"/>
        <v>0.97271869859379911</v>
      </c>
      <c r="H679" s="172">
        <f t="shared" si="80"/>
        <v>0.7431293431832755</v>
      </c>
      <c r="I679" s="172">
        <f t="shared" si="81"/>
        <v>3.0558859175117035</v>
      </c>
      <c r="J679" s="626">
        <f t="shared" si="82"/>
        <v>1</v>
      </c>
      <c r="K679" s="597"/>
      <c r="L679" s="597"/>
      <c r="M679" s="598"/>
    </row>
    <row r="680" spans="1:13" x14ac:dyDescent="0.2">
      <c r="A680" s="12">
        <v>409</v>
      </c>
      <c r="B680" s="626">
        <f t="shared" si="75"/>
        <v>1.4493341808881994</v>
      </c>
      <c r="C680" s="172">
        <f t="shared" si="77"/>
        <v>1.6497834807100591</v>
      </c>
      <c r="D680" s="172">
        <f t="shared" si="78"/>
        <v>4.5532176152749475</v>
      </c>
      <c r="E680" s="626">
        <f t="shared" si="79"/>
        <v>1</v>
      </c>
      <c r="F680" s="597">
        <v>909</v>
      </c>
      <c r="G680" s="626">
        <f t="shared" si="76"/>
        <v>0.9721835025705633</v>
      </c>
      <c r="H680" s="172">
        <f t="shared" si="80"/>
        <v>0.74231181915337097</v>
      </c>
      <c r="I680" s="172">
        <f t="shared" si="81"/>
        <v>3.0542045496168755</v>
      </c>
      <c r="J680" s="626">
        <f t="shared" si="82"/>
        <v>1</v>
      </c>
      <c r="K680" s="597"/>
      <c r="L680" s="597"/>
      <c r="M680" s="598"/>
    </row>
    <row r="681" spans="1:13" x14ac:dyDescent="0.2">
      <c r="A681" s="12">
        <v>410</v>
      </c>
      <c r="B681" s="626">
        <f t="shared" si="75"/>
        <v>1.4475656211313455</v>
      </c>
      <c r="C681" s="172">
        <f t="shared" si="77"/>
        <v>1.645759618561986</v>
      </c>
      <c r="D681" s="172">
        <f t="shared" si="78"/>
        <v>4.5476615209353808</v>
      </c>
      <c r="E681" s="626">
        <f t="shared" si="79"/>
        <v>1</v>
      </c>
      <c r="F681" s="597">
        <v>910</v>
      </c>
      <c r="G681" s="626">
        <f t="shared" si="76"/>
        <v>0.97164918898111263</v>
      </c>
      <c r="H681" s="172">
        <f t="shared" si="80"/>
        <v>0.7414960918795761</v>
      </c>
      <c r="I681" s="172">
        <f t="shared" si="81"/>
        <v>3.052525953969544</v>
      </c>
      <c r="J681" s="626">
        <f t="shared" si="82"/>
        <v>1</v>
      </c>
      <c r="K681" s="597"/>
      <c r="L681" s="597"/>
      <c r="M681" s="598"/>
    </row>
    <row r="682" spans="1:13" x14ac:dyDescent="0.2">
      <c r="A682" s="12">
        <v>411</v>
      </c>
      <c r="B682" s="626">
        <f t="shared" si="75"/>
        <v>1.445803519904683</v>
      </c>
      <c r="C682" s="172">
        <f t="shared" si="77"/>
        <v>1.6417553372516163</v>
      </c>
      <c r="D682" s="172">
        <f t="shared" si="78"/>
        <v>4.5421257166668161</v>
      </c>
      <c r="E682" s="626">
        <f t="shared" si="79"/>
        <v>1</v>
      </c>
      <c r="F682" s="597">
        <v>911</v>
      </c>
      <c r="G682" s="626">
        <f t="shared" si="76"/>
        <v>0.97111575540317419</v>
      </c>
      <c r="H682" s="172">
        <f t="shared" si="80"/>
        <v>0.74068215544502103</v>
      </c>
      <c r="I682" s="172">
        <f t="shared" si="81"/>
        <v>3.0508501229599143</v>
      </c>
      <c r="J682" s="626">
        <f t="shared" si="82"/>
        <v>1</v>
      </c>
      <c r="K682" s="597"/>
      <c r="L682" s="597"/>
      <c r="M682" s="598"/>
    </row>
    <row r="683" spans="1:13" x14ac:dyDescent="0.2">
      <c r="A683" s="12">
        <v>412</v>
      </c>
      <c r="B683" s="626">
        <f t="shared" si="75"/>
        <v>1.4440478379942732</v>
      </c>
      <c r="C683" s="172">
        <f t="shared" si="77"/>
        <v>1.6377704942000346</v>
      </c>
      <c r="D683" s="172">
        <f t="shared" si="78"/>
        <v>4.5366100792750323</v>
      </c>
      <c r="E683" s="626">
        <f t="shared" si="79"/>
        <v>1</v>
      </c>
      <c r="F683" s="597">
        <v>912</v>
      </c>
      <c r="G683" s="626">
        <f t="shared" si="76"/>
        <v>0.97058319942377413</v>
      </c>
      <c r="H683" s="172">
        <f t="shared" si="80"/>
        <v>0.73987000395878755</v>
      </c>
      <c r="I683" s="172">
        <f t="shared" si="81"/>
        <v>3.0491770490074059</v>
      </c>
      <c r="J683" s="626">
        <f t="shared" si="82"/>
        <v>1</v>
      </c>
      <c r="K683" s="597"/>
      <c r="L683" s="597"/>
      <c r="M683" s="598"/>
    </row>
    <row r="684" spans="1:13" x14ac:dyDescent="0.2">
      <c r="A684" s="12">
        <v>413</v>
      </c>
      <c r="B684" s="626">
        <f t="shared" si="75"/>
        <v>1.4422985365186998</v>
      </c>
      <c r="C684" s="172">
        <f t="shared" si="77"/>
        <v>1.6338049482092354</v>
      </c>
      <c r="D684" s="172">
        <f t="shared" si="78"/>
        <v>4.5311144866104573</v>
      </c>
      <c r="E684" s="626">
        <f t="shared" si="79"/>
        <v>1</v>
      </c>
      <c r="F684" s="597">
        <v>913</v>
      </c>
      <c r="G684" s="626">
        <f t="shared" si="76"/>
        <v>0.97005151863919081</v>
      </c>
      <c r="H684" s="172">
        <f t="shared" si="80"/>
        <v>0.73905963155576582</v>
      </c>
      <c r="I684" s="172">
        <f t="shared" si="81"/>
        <v>3.0475067245605043</v>
      </c>
      <c r="J684" s="626">
        <f t="shared" si="82"/>
        <v>1</v>
      </c>
      <c r="K684" s="597"/>
      <c r="L684" s="597"/>
      <c r="M684" s="598"/>
    </row>
    <row r="685" spans="1:13" x14ac:dyDescent="0.2">
      <c r="A685" s="12">
        <v>414</v>
      </c>
      <c r="B685" s="626">
        <f t="shared" si="75"/>
        <v>1.4405555769254537</v>
      </c>
      <c r="C685" s="172">
        <f t="shared" si="77"/>
        <v>1.6298585594454449</v>
      </c>
      <c r="D685" s="172">
        <f t="shared" si="78"/>
        <v>4.5256388175568114</v>
      </c>
      <c r="E685" s="626">
        <f t="shared" si="79"/>
        <v>1</v>
      </c>
      <c r="F685" s="597">
        <v>914</v>
      </c>
      <c r="G685" s="626">
        <f t="shared" si="76"/>
        <v>0.96952071065491008</v>
      </c>
      <c r="H685" s="172">
        <f t="shared" si="80"/>
        <v>0.73825103239651435</v>
      </c>
      <c r="I685" s="172">
        <f t="shared" si="81"/>
        <v>3.0458391420966211</v>
      </c>
      <c r="J685" s="626">
        <f t="shared" si="82"/>
        <v>1</v>
      </c>
      <c r="K685" s="597"/>
      <c r="L685" s="597"/>
      <c r="M685" s="598"/>
    </row>
    <row r="686" spans="1:13" x14ac:dyDescent="0.2">
      <c r="A686" s="12">
        <v>415</v>
      </c>
      <c r="B686" s="626">
        <f t="shared" si="75"/>
        <v>1.4388189209873636</v>
      </c>
      <c r="C686" s="172">
        <f t="shared" si="77"/>
        <v>1.6259311894226853</v>
      </c>
      <c r="D686" s="172">
        <f t="shared" si="78"/>
        <v>4.5201829520198942</v>
      </c>
      <c r="E686" s="626">
        <f t="shared" si="79"/>
        <v>1</v>
      </c>
      <c r="F686" s="597">
        <v>915</v>
      </c>
      <c r="G686" s="626">
        <f t="shared" si="76"/>
        <v>0.96899077308557957</v>
      </c>
      <c r="H686" s="172">
        <f t="shared" si="80"/>
        <v>0.73744420066711946</v>
      </c>
      <c r="I686" s="172">
        <f t="shared" si="81"/>
        <v>3.0441742941219512</v>
      </c>
      <c r="J686" s="626">
        <f t="shared" si="82"/>
        <v>1</v>
      </c>
      <c r="K686" s="597"/>
      <c r="L686" s="597"/>
      <c r="M686" s="598"/>
    </row>
    <row r="687" spans="1:13" x14ac:dyDescent="0.2">
      <c r="A687" s="12">
        <v>416</v>
      </c>
      <c r="B687" s="626">
        <f t="shared" si="75"/>
        <v>1.4370885307990746</v>
      </c>
      <c r="C687" s="172">
        <f t="shared" si="77"/>
        <v>1.6220227009865726</v>
      </c>
      <c r="D687" s="172">
        <f t="shared" si="78"/>
        <v>4.5147467709165223</v>
      </c>
      <c r="E687" s="626">
        <f t="shared" si="79"/>
        <v>1</v>
      </c>
      <c r="F687" s="597">
        <v>916</v>
      </c>
      <c r="G687" s="626">
        <f t="shared" si="76"/>
        <v>0.96846170355496342</v>
      </c>
      <c r="H687" s="172">
        <f t="shared" si="80"/>
        <v>0.73663913057905483</v>
      </c>
      <c r="I687" s="172">
        <f t="shared" si="81"/>
        <v>3.0425121731713292</v>
      </c>
      <c r="J687" s="626">
        <f t="shared" si="82"/>
        <v>1</v>
      </c>
      <c r="K687" s="597"/>
      <c r="L687" s="597"/>
      <c r="M687" s="598"/>
    </row>
    <row r="688" spans="1:13" x14ac:dyDescent="0.2">
      <c r="A688" s="12">
        <v>417</v>
      </c>
      <c r="B688" s="626">
        <f t="shared" si="75"/>
        <v>1.435364368773574</v>
      </c>
      <c r="C688" s="172">
        <f t="shared" si="77"/>
        <v>1.6181329582983557</v>
      </c>
      <c r="D688" s="172">
        <f t="shared" si="78"/>
        <v>4.5093301561636103</v>
      </c>
      <c r="E688" s="626">
        <f t="shared" si="79"/>
        <v>1</v>
      </c>
      <c r="F688" s="597">
        <v>917</v>
      </c>
      <c r="G688" s="626">
        <f t="shared" si="76"/>
        <v>0.96793349969589837</v>
      </c>
      <c r="H688" s="172">
        <f t="shared" si="80"/>
        <v>0.73583581636904505</v>
      </c>
      <c r="I688" s="172">
        <f t="shared" si="81"/>
        <v>3.0408527718080927</v>
      </c>
      <c r="J688" s="626">
        <f t="shared" si="82"/>
        <v>1</v>
      </c>
      <c r="K688" s="597"/>
      <c r="L688" s="597"/>
      <c r="M688" s="598"/>
    </row>
    <row r="689" spans="1:13" x14ac:dyDescent="0.2">
      <c r="A689" s="12">
        <v>418</v>
      </c>
      <c r="B689" s="626">
        <f t="shared" si="75"/>
        <v>1.4336463976387608</v>
      </c>
      <c r="C689" s="172">
        <f t="shared" si="77"/>
        <v>1.6142618268191726</v>
      </c>
      <c r="D689" s="172">
        <f t="shared" si="78"/>
        <v>4.5039329906674022</v>
      </c>
      <c r="E689" s="626">
        <f t="shared" si="79"/>
        <v>1</v>
      </c>
      <c r="F689" s="597">
        <v>918</v>
      </c>
      <c r="G689" s="626">
        <f t="shared" si="76"/>
        <v>0.9674061591502483</v>
      </c>
      <c r="H689" s="172">
        <f t="shared" si="80"/>
        <v>0.73503425229892616</v>
      </c>
      <c r="I689" s="172">
        <f t="shared" si="81"/>
        <v>3.0391960826239384</v>
      </c>
      <c r="J689" s="626">
        <f t="shared" si="82"/>
        <v>1</v>
      </c>
      <c r="K689" s="597"/>
      <c r="L689" s="597"/>
      <c r="M689" s="598"/>
    </row>
    <row r="690" spans="1:13" x14ac:dyDescent="0.2">
      <c r="A690" s="12">
        <v>419</v>
      </c>
      <c r="B690" s="626">
        <f t="shared" si="75"/>
        <v>1.4319345804340629</v>
      </c>
      <c r="C690" s="172">
        <f t="shared" si="77"/>
        <v>1.6104091732945445</v>
      </c>
      <c r="D690" s="172">
        <f t="shared" si="78"/>
        <v>4.4985551583128345</v>
      </c>
      <c r="E690" s="626">
        <f t="shared" si="79"/>
        <v>1</v>
      </c>
      <c r="F690" s="597">
        <v>919</v>
      </c>
      <c r="G690" s="626">
        <f t="shared" si="76"/>
        <v>0.96687967956886067</v>
      </c>
      <c r="H690" s="172">
        <f t="shared" si="80"/>
        <v>0.73423443265551047</v>
      </c>
      <c r="I690" s="172">
        <f t="shared" si="81"/>
        <v>3.0375420982387857</v>
      </c>
      <c r="J690" s="626">
        <f t="shared" si="82"/>
        <v>1</v>
      </c>
      <c r="K690" s="597"/>
      <c r="L690" s="597"/>
      <c r="M690" s="598"/>
    </row>
    <row r="691" spans="1:13" x14ac:dyDescent="0.2">
      <c r="A691" s="12">
        <v>420</v>
      </c>
      <c r="B691" s="626">
        <f t="shared" si="75"/>
        <v>1.4302288805070968</v>
      </c>
      <c r="C691" s="172">
        <f t="shared" si="77"/>
        <v>1.6065748657390815</v>
      </c>
      <c r="D691" s="172">
        <f t="shared" si="78"/>
        <v>4.4931965439530499</v>
      </c>
      <c r="E691" s="626">
        <f t="shared" si="79"/>
        <v>1</v>
      </c>
      <c r="F691" s="597">
        <v>920</v>
      </c>
      <c r="G691" s="626">
        <f t="shared" si="76"/>
        <v>0.96635405861152257</v>
      </c>
      <c r="H691" s="172">
        <f t="shared" si="80"/>
        <v>0.7334363517504503</v>
      </c>
      <c r="I691" s="172">
        <f t="shared" si="81"/>
        <v>3.0358908113006398</v>
      </c>
      <c r="J691" s="626">
        <f t="shared" si="82"/>
        <v>1</v>
      </c>
      <c r="K691" s="597"/>
      <c r="L691" s="597"/>
      <c r="M691" s="598"/>
    </row>
    <row r="692" spans="1:13" x14ac:dyDescent="0.2">
      <c r="A692" s="12">
        <v>421</v>
      </c>
      <c r="B692" s="626">
        <f t="shared" si="75"/>
        <v>1.4285292615103709</v>
      </c>
      <c r="C692" s="172">
        <f t="shared" si="77"/>
        <v>1.602758773421411</v>
      </c>
      <c r="D692" s="172">
        <f t="shared" si="78"/>
        <v>4.4878570333990337</v>
      </c>
      <c r="E692" s="626">
        <f t="shared" si="79"/>
        <v>1</v>
      </c>
      <c r="F692" s="597">
        <v>921</v>
      </c>
      <c r="G692" s="626">
        <f t="shared" si="76"/>
        <v>0.9658292939469163</v>
      </c>
      <c r="H692" s="172">
        <f t="shared" si="80"/>
        <v>0.73264000392010231</v>
      </c>
      <c r="I692" s="172">
        <f t="shared" si="81"/>
        <v>3.0342422144854493</v>
      </c>
      <c r="J692" s="626">
        <f t="shared" si="82"/>
        <v>1</v>
      </c>
      <c r="K692" s="597"/>
      <c r="L692" s="597"/>
      <c r="M692" s="598"/>
    </row>
    <row r="693" spans="1:13" x14ac:dyDescent="0.2">
      <c r="A693" s="12">
        <v>422</v>
      </c>
      <c r="B693" s="626">
        <f t="shared" si="75"/>
        <v>1.4268356873980335</v>
      </c>
      <c r="C693" s="172">
        <f t="shared" si="77"/>
        <v>1.5989607668493229</v>
      </c>
      <c r="D693" s="172">
        <f t="shared" si="78"/>
        <v>4.4825365134094044</v>
      </c>
      <c r="E693" s="626">
        <f t="shared" si="79"/>
        <v>1</v>
      </c>
      <c r="F693" s="597">
        <v>922</v>
      </c>
      <c r="G693" s="626">
        <f t="shared" si="76"/>
        <v>0.96530538325257698</v>
      </c>
      <c r="H693" s="172">
        <f t="shared" si="80"/>
        <v>0.73184538352539508</v>
      </c>
      <c r="I693" s="172">
        <f t="shared" si="81"/>
        <v>3.0325963004969756</v>
      </c>
      <c r="J693" s="626">
        <f t="shared" si="82"/>
        <v>1</v>
      </c>
      <c r="K693" s="597"/>
      <c r="L693" s="597"/>
      <c r="M693" s="598"/>
    </row>
    <row r="694" spans="1:13" x14ac:dyDescent="0.2">
      <c r="A694" s="12">
        <v>423</v>
      </c>
      <c r="B694" s="626">
        <f t="shared" si="75"/>
        <v>1.4251481224226605</v>
      </c>
      <c r="C694" s="172">
        <f t="shared" si="77"/>
        <v>1.5951807177551165</v>
      </c>
      <c r="D694" s="172">
        <f t="shared" si="78"/>
        <v>4.4772348716803174</v>
      </c>
      <c r="E694" s="626">
        <f t="shared" si="79"/>
        <v>1</v>
      </c>
      <c r="F694" s="597">
        <v>923</v>
      </c>
      <c r="G694" s="626">
        <f t="shared" si="76"/>
        <v>0.96478232421484855</v>
      </c>
      <c r="H694" s="172">
        <f t="shared" si="80"/>
        <v>0.73105248495169473</v>
      </c>
      <c r="I694" s="172">
        <f t="shared" si="81"/>
        <v>3.0309530620666543</v>
      </c>
      <c r="J694" s="626">
        <f t="shared" si="82"/>
        <v>1</v>
      </c>
      <c r="K694" s="597"/>
      <c r="L694" s="597"/>
      <c r="M694" s="598"/>
    </row>
    <row r="695" spans="1:13" x14ac:dyDescent="0.2">
      <c r="A695" s="12">
        <v>424</v>
      </c>
      <c r="B695" s="626">
        <f t="shared" si="75"/>
        <v>1.4234665311320878</v>
      </c>
      <c r="C695" s="172">
        <f t="shared" si="77"/>
        <v>1.5914184990811655</v>
      </c>
      <c r="D695" s="172">
        <f t="shared" si="78"/>
        <v>4.4719519968355135</v>
      </c>
      <c r="E695" s="626">
        <f t="shared" si="79"/>
        <v>1</v>
      </c>
      <c r="F695" s="597">
        <v>924</v>
      </c>
      <c r="G695" s="626">
        <f t="shared" si="76"/>
        <v>0.96426011452884131</v>
      </c>
      <c r="H695" s="172">
        <f t="shared" si="80"/>
        <v>0.73026130260867328</v>
      </c>
      <c r="I695" s="172">
        <f t="shared" si="81"/>
        <v>3.0293124919534602</v>
      </c>
      <c r="J695" s="626">
        <f t="shared" si="82"/>
        <v>1</v>
      </c>
      <c r="K695" s="597"/>
      <c r="L695" s="597"/>
      <c r="M695" s="598"/>
    </row>
    <row r="696" spans="1:13" x14ac:dyDescent="0.2">
      <c r="A696" s="12">
        <v>425</v>
      </c>
      <c r="B696" s="626">
        <f t="shared" si="75"/>
        <v>1.4217908783662825</v>
      </c>
      <c r="C696" s="172">
        <f t="shared" si="77"/>
        <v>1.5876739849656807</v>
      </c>
      <c r="D696" s="172">
        <f t="shared" si="78"/>
        <v>4.4666877784164924</v>
      </c>
      <c r="E696" s="626">
        <f t="shared" si="79"/>
        <v>1</v>
      </c>
      <c r="F696" s="597">
        <v>925</v>
      </c>
      <c r="G696" s="626">
        <f t="shared" si="76"/>
        <v>0.96373875189838909</v>
      </c>
      <c r="H696" s="172">
        <f t="shared" si="80"/>
        <v>0.72947183093017742</v>
      </c>
      <c r="I696" s="172">
        <f t="shared" si="81"/>
        <v>3.0276745829437752</v>
      </c>
      <c r="J696" s="626">
        <f t="shared" si="82"/>
        <v>1</v>
      </c>
      <c r="K696" s="597"/>
      <c r="L696" s="597"/>
      <c r="M696" s="598"/>
    </row>
    <row r="697" spans="1:13" x14ac:dyDescent="0.2">
      <c r="A697" s="12">
        <v>426</v>
      </c>
      <c r="B697" s="626">
        <f t="shared" si="75"/>
        <v>1.4201211292542542</v>
      </c>
      <c r="C697" s="172">
        <f t="shared" si="77"/>
        <v>1.5839470507286719</v>
      </c>
      <c r="D697" s="172">
        <f t="shared" si="78"/>
        <v>4.4614421068728056</v>
      </c>
      <c r="E697" s="626">
        <f t="shared" si="79"/>
        <v>1</v>
      </c>
      <c r="F697" s="597">
        <v>926</v>
      </c>
      <c r="G697" s="626">
        <f t="shared" si="76"/>
        <v>0.96321823403600693</v>
      </c>
      <c r="H697" s="172">
        <f t="shared" si="80"/>
        <v>0.72868406437409738</v>
      </c>
      <c r="I697" s="172">
        <f t="shared" si="81"/>
        <v>3.0260393278512532</v>
      </c>
      <c r="J697" s="626">
        <f t="shared" si="82"/>
        <v>1</v>
      </c>
      <c r="K697" s="597"/>
      <c r="L697" s="597"/>
      <c r="M697" s="598"/>
    </row>
    <row r="698" spans="1:13" x14ac:dyDescent="0.2">
      <c r="A698" s="12">
        <v>427</v>
      </c>
      <c r="B698" s="626">
        <f t="shared" si="75"/>
        <v>1.4184572492110088</v>
      </c>
      <c r="C698" s="172">
        <f t="shared" si="77"/>
        <v>1.5802375728581126</v>
      </c>
      <c r="D698" s="172">
        <f t="shared" si="78"/>
        <v>4.4562148735524918</v>
      </c>
      <c r="E698" s="626">
        <f t="shared" si="79"/>
        <v>1</v>
      </c>
      <c r="F698" s="597">
        <v>927</v>
      </c>
      <c r="G698" s="626">
        <f t="shared" si="76"/>
        <v>0.96269855866284881</v>
      </c>
      <c r="H698" s="172">
        <f t="shared" si="80"/>
        <v>0.72789799742223771</v>
      </c>
      <c r="I698" s="172">
        <f t="shared" si="81"/>
        <v>3.0244067195166884</v>
      </c>
      <c r="J698" s="626">
        <f t="shared" si="82"/>
        <v>1</v>
      </c>
      <c r="K698" s="597"/>
      <c r="L698" s="597"/>
      <c r="M698" s="598"/>
    </row>
    <row r="699" spans="1:13" x14ac:dyDescent="0.2">
      <c r="A699" s="12">
        <v>428</v>
      </c>
      <c r="B699" s="626">
        <f t="shared" si="75"/>
        <v>1.4167992039345394</v>
      </c>
      <c r="C699" s="172">
        <f t="shared" si="77"/>
        <v>1.576545428996295</v>
      </c>
      <c r="D699" s="172">
        <f t="shared" si="78"/>
        <v>4.4510059706926164</v>
      </c>
      <c r="E699" s="626">
        <f t="shared" si="79"/>
        <v>1</v>
      </c>
      <c r="F699" s="597">
        <v>928</v>
      </c>
      <c r="G699" s="626">
        <f t="shared" si="76"/>
        <v>0.96217972350866565</v>
      </c>
      <c r="H699" s="172">
        <f t="shared" si="80"/>
        <v>0.72711362458018769</v>
      </c>
      <c r="I699" s="172">
        <f t="shared" si="81"/>
        <v>3.0227767508078824</v>
      </c>
      <c r="J699" s="626">
        <f t="shared" si="82"/>
        <v>1</v>
      </c>
      <c r="K699" s="597"/>
      <c r="L699" s="597"/>
      <c r="M699" s="598"/>
    </row>
    <row r="700" spans="1:13" x14ac:dyDescent="0.2">
      <c r="A700" s="12">
        <v>429</v>
      </c>
      <c r="B700" s="626">
        <f t="shared" si="75"/>
        <v>1.4151469594028545</v>
      </c>
      <c r="C700" s="172">
        <f t="shared" si="77"/>
        <v>1.5728704979263735</v>
      </c>
      <c r="D700" s="172">
        <f t="shared" si="78"/>
        <v>4.4458152914099411</v>
      </c>
      <c r="E700" s="626">
        <f t="shared" si="79"/>
        <v>1</v>
      </c>
      <c r="F700" s="597">
        <v>929</v>
      </c>
      <c r="G700" s="626">
        <f t="shared" si="76"/>
        <v>0.96166172631176416</v>
      </c>
      <c r="H700" s="172">
        <f t="shared" si="80"/>
        <v>0.72633094037719503</v>
      </c>
      <c r="I700" s="172">
        <f t="shared" si="81"/>
        <v>3.0211494146195164</v>
      </c>
      <c r="J700" s="626">
        <f t="shared" si="82"/>
        <v>1</v>
      </c>
      <c r="K700" s="597"/>
      <c r="L700" s="597"/>
      <c r="M700" s="598"/>
    </row>
    <row r="701" spans="1:13" x14ac:dyDescent="0.2">
      <c r="A701" s="12">
        <v>430</v>
      </c>
      <c r="B701" s="626">
        <f t="shared" si="75"/>
        <v>1.4135004818710484</v>
      </c>
      <c r="C701" s="172">
        <f t="shared" si="77"/>
        <v>1.5692126595591027</v>
      </c>
      <c r="D701" s="172">
        <f t="shared" si="78"/>
        <v>4.4406427296917181</v>
      </c>
      <c r="E701" s="626">
        <f t="shared" si="79"/>
        <v>1</v>
      </c>
      <c r="F701" s="597">
        <v>930</v>
      </c>
      <c r="G701" s="626">
        <f t="shared" si="76"/>
        <v>0.96114456481896504</v>
      </c>
      <c r="H701" s="172">
        <f t="shared" si="80"/>
        <v>0.72554993936603684</v>
      </c>
      <c r="I701" s="172">
        <f t="shared" si="81"/>
        <v>3.0195247038730191</v>
      </c>
      <c r="J701" s="626">
        <f t="shared" si="82"/>
        <v>1</v>
      </c>
      <c r="K701" s="597"/>
      <c r="L701" s="597"/>
      <c r="M701" s="598"/>
    </row>
    <row r="702" spans="1:13" x14ac:dyDescent="0.2">
      <c r="A702" s="12">
        <v>431</v>
      </c>
      <c r="B702" s="626">
        <f t="shared" si="75"/>
        <v>1.4118597378684046</v>
      </c>
      <c r="C702" s="172">
        <f t="shared" si="77"/>
        <v>1.5655717949197547</v>
      </c>
      <c r="D702" s="172">
        <f t="shared" si="78"/>
        <v>4.4354881803865904</v>
      </c>
      <c r="E702" s="626">
        <f t="shared" si="79"/>
        <v>1</v>
      </c>
      <c r="F702" s="597">
        <v>931</v>
      </c>
      <c r="G702" s="626">
        <f t="shared" si="76"/>
        <v>0.96062823678556153</v>
      </c>
      <c r="H702" s="172">
        <f t="shared" si="80"/>
        <v>0.72477061612289395</v>
      </c>
      <c r="I702" s="172">
        <f t="shared" si="81"/>
        <v>3.0179026115164365</v>
      </c>
      <c r="J702" s="626">
        <f t="shared" si="82"/>
        <v>1</v>
      </c>
      <c r="K702" s="597"/>
      <c r="L702" s="597"/>
      <c r="M702" s="598"/>
    </row>
    <row r="703" spans="1:13" x14ac:dyDescent="0.2">
      <c r="A703" s="12">
        <v>432</v>
      </c>
      <c r="B703" s="626">
        <f t="shared" si="75"/>
        <v>1.4102246941955385</v>
      </c>
      <c r="C703" s="172">
        <f t="shared" si="77"/>
        <v>1.561947786135218</v>
      </c>
      <c r="D703" s="172">
        <f t="shared" si="78"/>
        <v>4.4303515391956161</v>
      </c>
      <c r="E703" s="626">
        <f t="shared" si="79"/>
        <v>1</v>
      </c>
      <c r="F703" s="597">
        <v>932</v>
      </c>
      <c r="G703" s="626">
        <f t="shared" si="76"/>
        <v>0.96011273997527913</v>
      </c>
      <c r="H703" s="172">
        <f t="shared" si="80"/>
        <v>0.72399296524722556</v>
      </c>
      <c r="I703" s="172">
        <f t="shared" si="81"/>
        <v>3.0162831305243043</v>
      </c>
      <c r="J703" s="626">
        <f t="shared" si="82"/>
        <v>1</v>
      </c>
      <c r="K703" s="597"/>
      <c r="L703" s="597"/>
      <c r="M703" s="598"/>
    </row>
    <row r="704" spans="1:13" x14ac:dyDescent="0.2">
      <c r="A704" s="12">
        <v>433</v>
      </c>
      <c r="B704" s="626">
        <f t="shared" si="75"/>
        <v>1.4085953179215771</v>
      </c>
      <c r="C704" s="172">
        <f t="shared" si="77"/>
        <v>1.55834051642128</v>
      </c>
      <c r="D704" s="172">
        <f t="shared" si="78"/>
        <v>4.425232702663406</v>
      </c>
      <c r="E704" s="626">
        <f t="shared" si="79"/>
        <v>1</v>
      </c>
      <c r="F704" s="597">
        <v>933</v>
      </c>
      <c r="G704" s="626">
        <f t="shared" si="76"/>
        <v>0.95959807216023463</v>
      </c>
      <c r="H704" s="172">
        <f t="shared" si="80"/>
        <v>0.72321698136164447</v>
      </c>
      <c r="I704" s="172">
        <f t="shared" si="81"/>
        <v>3.0146662538975213</v>
      </c>
      <c r="J704" s="626">
        <f t="shared" si="82"/>
        <v>1</v>
      </c>
      <c r="K704" s="597"/>
      <c r="L704" s="597"/>
      <c r="M704" s="598"/>
    </row>
    <row r="705" spans="1:13" x14ac:dyDescent="0.2">
      <c r="A705" s="12">
        <v>434</v>
      </c>
      <c r="B705" s="626">
        <f t="shared" si="75"/>
        <v>1.4069715763813713</v>
      </c>
      <c r="C705" s="172">
        <f t="shared" si="77"/>
        <v>1.554749870070079</v>
      </c>
      <c r="D705" s="172">
        <f t="shared" si="78"/>
        <v>4.4201315681693663</v>
      </c>
      <c r="E705" s="626">
        <f t="shared" si="79"/>
        <v>1</v>
      </c>
      <c r="F705" s="597">
        <v>934</v>
      </c>
      <c r="G705" s="626">
        <f t="shared" si="76"/>
        <v>0.95908423112089547</v>
      </c>
      <c r="H705" s="172">
        <f t="shared" si="80"/>
        <v>0.72244265911179262</v>
      </c>
      <c r="I705" s="172">
        <f t="shared" si="81"/>
        <v>3.0130519746632203</v>
      </c>
      <c r="J705" s="626">
        <f t="shared" si="82"/>
        <v>1</v>
      </c>
      <c r="K705" s="597"/>
      <c r="L705" s="597"/>
      <c r="M705" s="598"/>
    </row>
    <row r="706" spans="1:13" x14ac:dyDescent="0.2">
      <c r="A706" s="12">
        <v>435</v>
      </c>
      <c r="B706" s="626">
        <f t="shared" si="75"/>
        <v>1.4053534371727465</v>
      </c>
      <c r="C706" s="172">
        <f t="shared" si="77"/>
        <v>1.5511757324377338</v>
      </c>
      <c r="D706" s="172">
        <f t="shared" si="78"/>
        <v>4.4150480339190654</v>
      </c>
      <c r="E706" s="626">
        <f t="shared" si="79"/>
        <v>1</v>
      </c>
      <c r="F706" s="597">
        <v>935</v>
      </c>
      <c r="G706" s="626">
        <f t="shared" si="76"/>
        <v>0.95857121464603967</v>
      </c>
      <c r="H706" s="172">
        <f t="shared" si="80"/>
        <v>0.72166999316621838</v>
      </c>
      <c r="I706" s="172">
        <f t="shared" si="81"/>
        <v>3.011440285874643</v>
      </c>
      <c r="J706" s="626">
        <f t="shared" si="82"/>
        <v>1</v>
      </c>
      <c r="K706" s="597"/>
      <c r="L706" s="597"/>
      <c r="M706" s="598"/>
    </row>
    <row r="707" spans="1:13" x14ac:dyDescent="0.2">
      <c r="A707" s="12">
        <v>436</v>
      </c>
      <c r="B707" s="626">
        <f t="shared" si="75"/>
        <v>1.4037408681537875</v>
      </c>
      <c r="C707" s="172">
        <f t="shared" si="77"/>
        <v>1.5476179899321427</v>
      </c>
      <c r="D707" s="172">
        <f t="shared" si="78"/>
        <v>4.409981998935697</v>
      </c>
      <c r="E707" s="626">
        <f t="shared" si="79"/>
        <v>1</v>
      </c>
      <c r="F707" s="597">
        <v>936</v>
      </c>
      <c r="G707" s="626">
        <f t="shared" si="76"/>
        <v>0.95805902053271641</v>
      </c>
      <c r="H707" s="172">
        <f t="shared" si="80"/>
        <v>0.72089897821625459</v>
      </c>
      <c r="I707" s="172">
        <f t="shared" si="81"/>
        <v>3.0098311806110147</v>
      </c>
      <c r="J707" s="626">
        <f t="shared" si="82"/>
        <v>1</v>
      </c>
      <c r="K707" s="597"/>
      <c r="L707" s="597"/>
      <c r="M707" s="598"/>
    </row>
    <row r="708" spans="1:13" x14ac:dyDescent="0.2">
      <c r="A708" s="12">
        <v>437</v>
      </c>
      <c r="B708" s="626">
        <f t="shared" si="75"/>
        <v>1.4021338374401555</v>
      </c>
      <c r="C708" s="172">
        <f t="shared" si="77"/>
        <v>1.5440765300009476</v>
      </c>
      <c r="D708" s="172">
        <f t="shared" si="78"/>
        <v>4.4049333630516578</v>
      </c>
      <c r="E708" s="626">
        <f t="shared" si="79"/>
        <v>1</v>
      </c>
      <c r="F708" s="597">
        <v>937</v>
      </c>
      <c r="G708" s="626">
        <f t="shared" si="76"/>
        <v>0.95754764658620517</v>
      </c>
      <c r="H708" s="172">
        <f t="shared" si="80"/>
        <v>0.72012960897589562</v>
      </c>
      <c r="I708" s="172">
        <f t="shared" si="81"/>
        <v>3.0082246519774176</v>
      </c>
      <c r="J708" s="626">
        <f t="shared" si="82"/>
        <v>1</v>
      </c>
      <c r="K708" s="597"/>
      <c r="L708" s="597"/>
      <c r="M708" s="598"/>
    </row>
    <row r="709" spans="1:13" x14ac:dyDescent="0.2">
      <c r="A709" s="12">
        <v>438</v>
      </c>
      <c r="B709" s="626">
        <f t="shared" si="75"/>
        <v>1.4005323134024417</v>
      </c>
      <c r="C709" s="172">
        <f t="shared" si="77"/>
        <v>1.5405512411196671</v>
      </c>
      <c r="D709" s="172">
        <f t="shared" si="78"/>
        <v>4.3999020269002287</v>
      </c>
      <c r="E709" s="626">
        <f t="shared" si="79"/>
        <v>1</v>
      </c>
      <c r="F709" s="597">
        <v>938</v>
      </c>
      <c r="G709" s="626">
        <f t="shared" si="76"/>
        <v>0.95703709061997733</v>
      </c>
      <c r="H709" s="172">
        <f t="shared" si="80"/>
        <v>0.71936188018167824</v>
      </c>
      <c r="I709" s="172">
        <f t="shared" si="81"/>
        <v>3.00662069310467</v>
      </c>
      <c r="J709" s="626">
        <f t="shared" si="82"/>
        <v>1</v>
      </c>
      <c r="K709" s="597"/>
      <c r="L709" s="597"/>
      <c r="M709" s="598"/>
    </row>
    <row r="710" spans="1:13" x14ac:dyDescent="0.2">
      <c r="A710" s="12">
        <v>439</v>
      </c>
      <c r="B710" s="626">
        <f t="shared" si="75"/>
        <v>1.398936264663551</v>
      </c>
      <c r="C710" s="172">
        <f t="shared" si="77"/>
        <v>1.5370420127799871</v>
      </c>
      <c r="D710" s="172">
        <f t="shared" si="78"/>
        <v>4.3948878919073584</v>
      </c>
      <c r="E710" s="626">
        <f t="shared" si="79"/>
        <v>1</v>
      </c>
      <c r="F710" s="597">
        <v>939</v>
      </c>
      <c r="G710" s="626">
        <f t="shared" si="76"/>
        <v>0.95652735045565629</v>
      </c>
      <c r="H710" s="172">
        <f t="shared" si="80"/>
        <v>0.71859578659256051</v>
      </c>
      <c r="I710" s="172">
        <f t="shared" si="81"/>
        <v>3.0050192971491994</v>
      </c>
      <c r="J710" s="626">
        <f t="shared" si="82"/>
        <v>1</v>
      </c>
      <c r="K710" s="597"/>
      <c r="L710" s="597"/>
      <c r="M710" s="598"/>
    </row>
    <row r="711" spans="1:13" x14ac:dyDescent="0.2">
      <c r="A711" s="12">
        <v>440</v>
      </c>
      <c r="B711" s="626">
        <f t="shared" si="75"/>
        <v>1.3973456600961216</v>
      </c>
      <c r="C711" s="172">
        <f t="shared" si="77"/>
        <v>1.533548735478214</v>
      </c>
      <c r="D711" s="172">
        <f t="shared" si="78"/>
        <v>4.3898908602835558</v>
      </c>
      <c r="E711" s="626">
        <f t="shared" si="79"/>
        <v>1</v>
      </c>
      <c r="F711" s="597">
        <v>940</v>
      </c>
      <c r="G711" s="626">
        <f t="shared" si="76"/>
        <v>0.95601842392297831</v>
      </c>
      <c r="H711" s="172">
        <f t="shared" si="80"/>
        <v>0.71783132298980235</v>
      </c>
      <c r="I711" s="172">
        <f t="shared" si="81"/>
        <v>3.0034204572929211</v>
      </c>
      <c r="J711" s="626">
        <f t="shared" si="82"/>
        <v>1</v>
      </c>
      <c r="K711" s="597"/>
      <c r="L711" s="597"/>
      <c r="M711" s="598"/>
    </row>
    <row r="712" spans="1:13" x14ac:dyDescent="0.2">
      <c r="A712" s="12">
        <v>441</v>
      </c>
      <c r="B712" s="626">
        <f t="shared" si="75"/>
        <v>1.3957604688199747</v>
      </c>
      <c r="C712" s="172">
        <f t="shared" si="77"/>
        <v>1.5300713007038871</v>
      </c>
      <c r="D712" s="172">
        <f t="shared" si="78"/>
        <v>4.3849108350158783</v>
      </c>
      <c r="E712" s="626">
        <f t="shared" si="79"/>
        <v>1</v>
      </c>
      <c r="F712" s="597">
        <v>941</v>
      </c>
      <c r="G712" s="626">
        <f t="shared" si="76"/>
        <v>0.95551030885975452</v>
      </c>
      <c r="H712" s="172">
        <f t="shared" si="80"/>
        <v>0.71706848417684821</v>
      </c>
      <c r="I712" s="172">
        <f t="shared" si="81"/>
        <v>3.0018241667431189</v>
      </c>
      <c r="J712" s="626">
        <f t="shared" si="82"/>
        <v>1</v>
      </c>
      <c r="K712" s="597"/>
      <c r="L712" s="597"/>
      <c r="M712" s="598"/>
    </row>
    <row r="713" spans="1:13" x14ac:dyDescent="0.2">
      <c r="A713" s="12">
        <v>442</v>
      </c>
      <c r="B713" s="626">
        <f t="shared" si="75"/>
        <v>1.3941806601995961</v>
      </c>
      <c r="C713" s="172">
        <f t="shared" si="77"/>
        <v>1.526609600928539</v>
      </c>
      <c r="D713" s="172">
        <f t="shared" si="78"/>
        <v>4.3799477198600183</v>
      </c>
      <c r="E713" s="626">
        <f t="shared" si="79"/>
        <v>1</v>
      </c>
      <c r="F713" s="597">
        <v>942</v>
      </c>
      <c r="G713" s="626">
        <f t="shared" si="76"/>
        <v>0.95500300311183139</v>
      </c>
      <c r="H713" s="172">
        <f t="shared" si="80"/>
        <v>0.71630726497920816</v>
      </c>
      <c r="I713" s="172">
        <f t="shared" si="81"/>
        <v>3.0002304187323197</v>
      </c>
      <c r="J713" s="626">
        <f t="shared" si="82"/>
        <v>1</v>
      </c>
      <c r="K713" s="597"/>
      <c r="L713" s="597"/>
      <c r="M713" s="598"/>
    </row>
    <row r="714" spans="1:13" x14ac:dyDescent="0.2">
      <c r="A714" s="12">
        <v>443</v>
      </c>
      <c r="B714" s="626">
        <f t="shared" si="75"/>
        <v>1.3926062038416498</v>
      </c>
      <c r="C714" s="172">
        <f t="shared" si="77"/>
        <v>1.5231635295946147</v>
      </c>
      <c r="D714" s="172">
        <f t="shared" si="78"/>
        <v>4.3750014193324969</v>
      </c>
      <c r="E714" s="626">
        <f t="shared" si="79"/>
        <v>1</v>
      </c>
      <c r="F714" s="597">
        <v>943</v>
      </c>
      <c r="G714" s="626">
        <f t="shared" si="76"/>
        <v>0.95449650453305301</v>
      </c>
      <c r="H714" s="172">
        <f t="shared" si="80"/>
        <v>0.71554766024434169</v>
      </c>
      <c r="I714" s="172">
        <f t="shared" si="81"/>
        <v>2.9986392065181762</v>
      </c>
      <c r="J714" s="626">
        <f t="shared" si="82"/>
        <v>1</v>
      </c>
      <c r="K714" s="597"/>
      <c r="L714" s="597"/>
      <c r="M714" s="598"/>
    </row>
    <row r="715" spans="1:13" x14ac:dyDescent="0.2">
      <c r="A715" s="12">
        <v>444</v>
      </c>
      <c r="B715" s="626">
        <f t="shared" si="75"/>
        <v>1.3910370695925223</v>
      </c>
      <c r="C715" s="172">
        <f t="shared" si="77"/>
        <v>1.5197329811045364</v>
      </c>
      <c r="D715" s="172">
        <f t="shared" si="78"/>
        <v>4.370071838702942</v>
      </c>
      <c r="E715" s="626">
        <f t="shared" si="79"/>
        <v>1</v>
      </c>
      <c r="F715" s="597">
        <v>944</v>
      </c>
      <c r="G715" s="626">
        <f t="shared" si="76"/>
        <v>0.95399081098522254</v>
      </c>
      <c r="H715" s="172">
        <f t="shared" si="80"/>
        <v>0.7147896648415405</v>
      </c>
      <c r="I715" s="172">
        <f t="shared" si="81"/>
        <v>2.997050523383344</v>
      </c>
      <c r="J715" s="626">
        <f t="shared" si="82"/>
        <v>1</v>
      </c>
      <c r="K715" s="597"/>
      <c r="L715" s="597"/>
      <c r="M715" s="598"/>
    </row>
    <row r="716" spans="1:13" x14ac:dyDescent="0.2">
      <c r="A716" s="12">
        <v>445</v>
      </c>
      <c r="B716" s="626">
        <f t="shared" si="75"/>
        <v>1.389473227535897</v>
      </c>
      <c r="C716" s="172">
        <f t="shared" si="77"/>
        <v>1.5163178508099198</v>
      </c>
      <c r="D716" s="172">
        <f t="shared" si="78"/>
        <v>4.3651588839864726</v>
      </c>
      <c r="E716" s="626">
        <f t="shared" si="79"/>
        <v>1</v>
      </c>
      <c r="F716" s="597">
        <v>945</v>
      </c>
      <c r="G716" s="626">
        <f t="shared" si="76"/>
        <v>0.95348592033806456</v>
      </c>
      <c r="H716" s="172">
        <f t="shared" si="80"/>
        <v>0.71403327366181413</v>
      </c>
      <c r="I716" s="172">
        <f t="shared" si="81"/>
        <v>2.9954643626353663</v>
      </c>
      <c r="J716" s="626">
        <f t="shared" si="82"/>
        <v>1</v>
      </c>
      <c r="K716" s="597"/>
      <c r="L716" s="597"/>
      <c r="M716" s="598"/>
    </row>
    <row r="717" spans="1:13" x14ac:dyDescent="0.2">
      <c r="A717" s="12">
        <v>446</v>
      </c>
      <c r="B717" s="626">
        <f t="shared" si="75"/>
        <v>1.3879146479903581</v>
      </c>
      <c r="C717" s="172">
        <f t="shared" si="77"/>
        <v>1.5129180350009288</v>
      </c>
      <c r="D717" s="172">
        <f t="shared" si="78"/>
        <v>4.3602624619361725</v>
      </c>
      <c r="E717" s="626">
        <f t="shared" si="79"/>
        <v>1</v>
      </c>
      <c r="F717" s="597">
        <v>946</v>
      </c>
      <c r="G717" s="626">
        <f t="shared" si="76"/>
        <v>0.95298183046918727</v>
      </c>
      <c r="H717" s="172">
        <f t="shared" si="80"/>
        <v>0.71327848161777407</v>
      </c>
      <c r="I717" s="172">
        <f t="shared" si="81"/>
        <v>2.9938807176065523</v>
      </c>
      <c r="J717" s="626">
        <f t="shared" si="82"/>
        <v>1</v>
      </c>
      <c r="K717" s="597"/>
      <c r="L717" s="597"/>
      <c r="M717" s="598"/>
    </row>
    <row r="718" spans="1:13" x14ac:dyDescent="0.2">
      <c r="A718" s="12">
        <v>447</v>
      </c>
      <c r="B718" s="626">
        <f t="shared" si="75"/>
        <v>1.3863613015070251</v>
      </c>
      <c r="C718" s="172">
        <f t="shared" si="77"/>
        <v>1.5095334308957811</v>
      </c>
      <c r="D718" s="172">
        <f t="shared" si="78"/>
        <v>4.3553824800356544</v>
      </c>
      <c r="E718" s="626">
        <f t="shared" si="79"/>
        <v>1</v>
      </c>
      <c r="F718" s="597">
        <v>947</v>
      </c>
      <c r="G718" s="626">
        <f t="shared" si="76"/>
        <v>0.95247853926404513</v>
      </c>
      <c r="H718" s="172">
        <f t="shared" si="80"/>
        <v>0.71252528364352086</v>
      </c>
      <c r="I718" s="172">
        <f t="shared" si="81"/>
        <v>2.9922995816538616</v>
      </c>
      <c r="J718" s="626">
        <f t="shared" si="82"/>
        <v>1</v>
      </c>
      <c r="K718" s="597"/>
      <c r="L718" s="597"/>
      <c r="M718" s="598"/>
    </row>
    <row r="719" spans="1:13" x14ac:dyDescent="0.2">
      <c r="A719" s="12">
        <v>448</v>
      </c>
      <c r="B719" s="626">
        <f t="shared" si="75"/>
        <v>1.3848131588672159</v>
      </c>
      <c r="C719" s="172">
        <f t="shared" si="77"/>
        <v>1.5061639366303889</v>
      </c>
      <c r="D719" s="172">
        <f t="shared" si="78"/>
        <v>4.3505188464917204</v>
      </c>
      <c r="E719" s="626">
        <f t="shared" si="79"/>
        <v>1</v>
      </c>
      <c r="F719" s="597">
        <v>948</v>
      </c>
      <c r="G719" s="626">
        <f t="shared" si="76"/>
        <v>0.95197604461590146</v>
      </c>
      <c r="H719" s="172">
        <f t="shared" si="80"/>
        <v>0.71177367469452968</v>
      </c>
      <c r="I719" s="172">
        <f t="shared" si="81"/>
        <v>2.9907209481587853</v>
      </c>
      <c r="J719" s="626">
        <f t="shared" si="82"/>
        <v>1</v>
      </c>
      <c r="K719" s="597"/>
      <c r="L719" s="597"/>
      <c r="M719" s="598"/>
    </row>
    <row r="720" spans="1:13" x14ac:dyDescent="0.2">
      <c r="A720" s="12">
        <v>449</v>
      </c>
      <c r="B720" s="626">
        <f t="shared" ref="B720:B771" si="83">SQRT(PI()*$I$266*$I$264/SQRT(3)/A720)</f>
        <v>1.3832701910801373</v>
      </c>
      <c r="C720" s="172">
        <f t="shared" si="77"/>
        <v>1.5028094512481385</v>
      </c>
      <c r="D720" s="172">
        <f t="shared" si="78"/>
        <v>4.3456714702271082</v>
      </c>
      <c r="E720" s="626">
        <f t="shared" si="79"/>
        <v>1</v>
      </c>
      <c r="F720" s="597">
        <v>949</v>
      </c>
      <c r="G720" s="626">
        <f t="shared" ref="G720:G772" si="84">SQRT(PI()*$I$266*$I$264/SQRT(3)/F720)</f>
        <v>0.95147434442579171</v>
      </c>
      <c r="H720" s="172">
        <f t="shared" si="80"/>
        <v>0.71102364974753884</v>
      </c>
      <c r="I720" s="172">
        <f t="shared" si="81"/>
        <v>2.9891448105272316</v>
      </c>
      <c r="J720" s="626">
        <f t="shared" si="82"/>
        <v>1</v>
      </c>
      <c r="K720" s="597"/>
      <c r="L720" s="597"/>
      <c r="M720" s="598"/>
    </row>
    <row r="721" spans="1:13" x14ac:dyDescent="0.2">
      <c r="A721" s="12">
        <v>450</v>
      </c>
      <c r="B721" s="626">
        <f t="shared" si="83"/>
        <v>1.3817323693806063</v>
      </c>
      <c r="C721" s="172">
        <f t="shared" ref="C721:C771" si="85">PI()*B721^2/4</f>
        <v>1.4994698746898092</v>
      </c>
      <c r="D721" s="172">
        <f t="shared" ref="D721:D771" si="86">PI()*B721</f>
        <v>4.340840260873331</v>
      </c>
      <c r="E721" s="626">
        <f t="shared" ref="E721:E771" si="87">IF(A721&lt;=$C$265,(D721*$I$265/PI()^2/C721)*SQRT(A721/$B$265),IF(A721&lt;$B$265,($C$270-$B$270)/($C$265-$B$265)*A721+($C$265*$B$270-$B$265*$C$270)/($C$265-$B$265),IF(A721=$B$265,0.45*SQRT(D721/$I$265),IF(A721&lt;$D$265,($B$270-$D$270)/($B$265-$D$265)*A721+($B$265*$D$270-$D$265*$B$270)/($B$265-$D$265),1))))</f>
        <v>1</v>
      </c>
      <c r="F721" s="597">
        <v>950</v>
      </c>
      <c r="G721" s="626">
        <f t="shared" si="84"/>
        <v>0.95097343660248579</v>
      </c>
      <c r="H721" s="172">
        <f t="shared" si="80"/>
        <v>0.71027520380043607</v>
      </c>
      <c r="I721" s="172">
        <f t="shared" si="81"/>
        <v>2.9875711621894081</v>
      </c>
      <c r="J721" s="626">
        <f t="shared" si="82"/>
        <v>1</v>
      </c>
      <c r="K721" s="597"/>
      <c r="L721" s="597"/>
      <c r="M721" s="598"/>
    </row>
    <row r="722" spans="1:13" x14ac:dyDescent="0.2">
      <c r="A722" s="12">
        <v>451</v>
      </c>
      <c r="B722" s="626">
        <f t="shared" si="83"/>
        <v>1.3801996652267967</v>
      </c>
      <c r="C722" s="172">
        <f t="shared" si="85"/>
        <v>1.4961451077836234</v>
      </c>
      <c r="D722" s="172">
        <f t="shared" si="86"/>
        <v>4.3360251287635965</v>
      </c>
      <c r="E722" s="626">
        <f t="shared" si="87"/>
        <v>1</v>
      </c>
      <c r="F722" s="597">
        <v>951</v>
      </c>
      <c r="G722" s="626">
        <f t="shared" si="84"/>
        <v>0.9504733190624528</v>
      </c>
      <c r="H722" s="172">
        <f t="shared" si="80"/>
        <v>0.70952833187214959</v>
      </c>
      <c r="I722" s="172">
        <f t="shared" si="81"/>
        <v>2.985999996599709</v>
      </c>
      <c r="J722" s="626">
        <f t="shared" si="82"/>
        <v>1</v>
      </c>
      <c r="K722" s="597"/>
      <c r="L722" s="597"/>
      <c r="M722" s="598"/>
    </row>
    <row r="723" spans="1:13" x14ac:dyDescent="0.2">
      <c r="A723" s="12">
        <v>452</v>
      </c>
      <c r="B723" s="626">
        <f t="shared" si="83"/>
        <v>1.3786720502980145</v>
      </c>
      <c r="C723" s="172">
        <f t="shared" si="85"/>
        <v>1.4928350522354294</v>
      </c>
      <c r="D723" s="172">
        <f t="shared" si="86"/>
        <v>4.3312259849258199</v>
      </c>
      <c r="E723" s="626">
        <f t="shared" si="87"/>
        <v>1</v>
      </c>
      <c r="F723" s="597">
        <v>952</v>
      </c>
      <c r="G723" s="626">
        <f t="shared" si="84"/>
        <v>0.94997398972982339</v>
      </c>
      <c r="H723" s="172">
        <f t="shared" si="80"/>
        <v>0.70878302900253598</v>
      </c>
      <c r="I723" s="172">
        <f t="shared" si="81"/>
        <v>2.9844313072365987</v>
      </c>
      <c r="J723" s="626">
        <f t="shared" si="82"/>
        <v>1</v>
      </c>
      <c r="K723" s="597"/>
      <c r="L723" s="597"/>
      <c r="M723" s="598"/>
    </row>
    <row r="724" spans="1:13" x14ac:dyDescent="0.2">
      <c r="A724" s="12">
        <v>453</v>
      </c>
      <c r="B724" s="626">
        <f t="shared" si="83"/>
        <v>1.3771494964925004</v>
      </c>
      <c r="C724" s="172">
        <f t="shared" si="85"/>
        <v>1.489539610619016</v>
      </c>
      <c r="D724" s="172">
        <f t="shared" si="86"/>
        <v>4.3264427410757218</v>
      </c>
      <c r="E724" s="626">
        <f t="shared" si="87"/>
        <v>1</v>
      </c>
      <c r="F724" s="597">
        <v>953</v>
      </c>
      <c r="G724" s="626">
        <f t="shared" si="84"/>
        <v>0.94947544653635418</v>
      </c>
      <c r="H724" s="172">
        <f t="shared" si="80"/>
        <v>0.70803929025227086</v>
      </c>
      <c r="I724" s="172">
        <f t="shared" si="81"/>
        <v>2.9828650876024985</v>
      </c>
      <c r="J724" s="626">
        <f t="shared" si="82"/>
        <v>1</v>
      </c>
      <c r="K724" s="597"/>
      <c r="L724" s="597"/>
      <c r="M724" s="598"/>
    </row>
    <row r="725" spans="1:13" x14ac:dyDescent="0.2">
      <c r="A725" s="12">
        <v>454</v>
      </c>
      <c r="B725" s="626">
        <f t="shared" si="83"/>
        <v>1.3756319759252575</v>
      </c>
      <c r="C725" s="172">
        <f t="shared" si="85"/>
        <v>1.486258686366551</v>
      </c>
      <c r="D725" s="172">
        <f t="shared" si="86"/>
        <v>4.3216753096100007</v>
      </c>
      <c r="E725" s="626">
        <f t="shared" si="87"/>
        <v>1</v>
      </c>
      <c r="F725" s="597">
        <v>954</v>
      </c>
      <c r="G725" s="626">
        <f t="shared" si="84"/>
        <v>0.94897768742139199</v>
      </c>
      <c r="H725" s="172">
        <f t="shared" si="80"/>
        <v>0.70729711070274037</v>
      </c>
      <c r="I725" s="172">
        <f t="shared" si="81"/>
        <v>2.9813013312236762</v>
      </c>
      <c r="J725" s="626">
        <f t="shared" si="82"/>
        <v>1</v>
      </c>
      <c r="K725" s="597"/>
      <c r="L725" s="597"/>
      <c r="M725" s="598"/>
    </row>
    <row r="726" spans="1:13" x14ac:dyDescent="0.2">
      <c r="A726" s="12">
        <v>455</v>
      </c>
      <c r="B726" s="626">
        <f t="shared" si="83"/>
        <v>1.374119460925908</v>
      </c>
      <c r="C726" s="172">
        <f t="shared" si="85"/>
        <v>1.4829921837591524</v>
      </c>
      <c r="D726" s="172">
        <f t="shared" si="86"/>
        <v>4.3169236035995997</v>
      </c>
      <c r="E726" s="626">
        <f t="shared" si="87"/>
        <v>1</v>
      </c>
      <c r="F726" s="597">
        <v>955</v>
      </c>
      <c r="G726" s="626">
        <f t="shared" si="84"/>
        <v>0.94848071033183712</v>
      </c>
      <c r="H726" s="172">
        <f t="shared" si="80"/>
        <v>0.70655648545593108</v>
      </c>
      <c r="I726" s="172">
        <f t="shared" si="81"/>
        <v>2.9797400316501279</v>
      </c>
      <c r="J726" s="626">
        <f t="shared" si="82"/>
        <v>1</v>
      </c>
      <c r="K726" s="597"/>
      <c r="L726" s="597"/>
      <c r="M726" s="598"/>
    </row>
    <row r="727" spans="1:13" x14ac:dyDescent="0.2">
      <c r="A727" s="12">
        <v>456</v>
      </c>
      <c r="B727" s="626">
        <f t="shared" si="83"/>
        <v>1.3726119240365717</v>
      </c>
      <c r="C727" s="172">
        <f t="shared" si="85"/>
        <v>1.4797400079175749</v>
      </c>
      <c r="D727" s="172">
        <f t="shared" si="86"/>
        <v>4.3121875367830453</v>
      </c>
      <c r="E727" s="626">
        <f t="shared" si="87"/>
        <v>1</v>
      </c>
      <c r="F727" s="597">
        <v>956</v>
      </c>
      <c r="G727" s="626">
        <f t="shared" si="84"/>
        <v>0.94798451322210919</v>
      </c>
      <c r="H727" s="172">
        <f t="shared" si="80"/>
        <v>0.7058174096343246</v>
      </c>
      <c r="I727" s="172">
        <f t="shared" si="81"/>
        <v>2.9781811824554745</v>
      </c>
      <c r="J727" s="626">
        <f t="shared" si="82"/>
        <v>1</v>
      </c>
      <c r="K727" s="597"/>
      <c r="L727" s="597"/>
      <c r="M727" s="598"/>
    </row>
    <row r="728" spans="1:13" x14ac:dyDescent="0.2">
      <c r="A728" s="12">
        <v>457</v>
      </c>
      <c r="B728" s="626">
        <f t="shared" si="83"/>
        <v>1.3711093380097752</v>
      </c>
      <c r="C728" s="172">
        <f t="shared" si="85"/>
        <v>1.4765020647930289</v>
      </c>
      <c r="D728" s="172">
        <f t="shared" si="86"/>
        <v>4.307467023559874</v>
      </c>
      <c r="E728" s="626">
        <f t="shared" si="87"/>
        <v>1</v>
      </c>
      <c r="F728" s="597">
        <v>957</v>
      </c>
      <c r="G728" s="626">
        <f t="shared" si="84"/>
        <v>0.9474890940541103</v>
      </c>
      <c r="H728" s="172">
        <f t="shared" si="80"/>
        <v>0.70507987838078812</v>
      </c>
      <c r="I728" s="172">
        <f t="shared" si="81"/>
        <v>2.9766247772368413</v>
      </c>
      <c r="J728" s="626">
        <f t="shared" si="82"/>
        <v>1</v>
      </c>
      <c r="K728" s="597"/>
      <c r="L728" s="597"/>
      <c r="M728" s="598"/>
    </row>
    <row r="729" spans="1:13" x14ac:dyDescent="0.2">
      <c r="A729" s="12">
        <v>458</v>
      </c>
      <c r="B729" s="626">
        <f t="shared" si="83"/>
        <v>1.3696116758063812</v>
      </c>
      <c r="C729" s="172">
        <f t="shared" si="85"/>
        <v>1.4732782611581099</v>
      </c>
      <c r="D729" s="172">
        <f t="shared" si="86"/>
        <v>4.3027619789841323</v>
      </c>
      <c r="E729" s="626">
        <f t="shared" si="87"/>
        <v>1</v>
      </c>
      <c r="F729" s="597">
        <v>958</v>
      </c>
      <c r="G729" s="626">
        <f t="shared" si="84"/>
        <v>0.94699445079719091</v>
      </c>
      <c r="H729" s="172">
        <f t="shared" si="80"/>
        <v>0.70434388685846994</v>
      </c>
      <c r="I729" s="172">
        <f t="shared" si="81"/>
        <v>2.9750708096147558</v>
      </c>
      <c r="J729" s="626">
        <f t="shared" si="82"/>
        <v>1</v>
      </c>
      <c r="K729" s="597"/>
      <c r="L729" s="597"/>
      <c r="M729" s="598"/>
    </row>
    <row r="730" spans="1:13" x14ac:dyDescent="0.2">
      <c r="A730" s="12">
        <v>459</v>
      </c>
      <c r="B730" s="626">
        <f t="shared" si="83"/>
        <v>1.3681189105935461</v>
      </c>
      <c r="C730" s="172">
        <f t="shared" si="85"/>
        <v>1.4700685045978525</v>
      </c>
      <c r="D730" s="172">
        <f t="shared" si="86"/>
        <v>4.2980723187579555</v>
      </c>
      <c r="E730" s="626">
        <f t="shared" si="87"/>
        <v>1</v>
      </c>
      <c r="F730" s="597">
        <v>959</v>
      </c>
      <c r="G730" s="626">
        <f t="shared" si="84"/>
        <v>0.94650058142811466</v>
      </c>
      <c r="H730" s="172">
        <f t="shared" si="80"/>
        <v>0.70360943025069267</v>
      </c>
      <c r="I730" s="172">
        <f t="shared" si="81"/>
        <v>2.9735192732330327</v>
      </c>
      <c r="J730" s="626">
        <f t="shared" si="82"/>
        <v>1</v>
      </c>
      <c r="K730" s="597"/>
      <c r="L730" s="597"/>
      <c r="M730" s="598"/>
    </row>
    <row r="731" spans="1:13" x14ac:dyDescent="0.2">
      <c r="A731" s="12">
        <v>460</v>
      </c>
      <c r="B731" s="626">
        <f t="shared" si="83"/>
        <v>1.3666310157427</v>
      </c>
      <c r="C731" s="172">
        <f t="shared" si="85"/>
        <v>1.4668727035009004</v>
      </c>
      <c r="D731" s="172">
        <f t="shared" si="86"/>
        <v>4.2933979592252234</v>
      </c>
      <c r="E731" s="626">
        <f t="shared" si="87"/>
        <v>1</v>
      </c>
      <c r="F731" s="597">
        <v>960</v>
      </c>
      <c r="G731" s="626">
        <f t="shared" si="84"/>
        <v>0.9460074839310233</v>
      </c>
      <c r="H731" s="172">
        <f t="shared" si="80"/>
        <v>0.7028765037608482</v>
      </c>
      <c r="I731" s="172">
        <f t="shared" si="81"/>
        <v>2.9719701617586671</v>
      </c>
      <c r="J731" s="626">
        <f t="shared" si="82"/>
        <v>1</v>
      </c>
      <c r="K731" s="597"/>
      <c r="L731" s="597"/>
      <c r="M731" s="598"/>
    </row>
    <row r="732" spans="1:13" x14ac:dyDescent="0.2">
      <c r="A732" s="12">
        <v>461</v>
      </c>
      <c r="B732" s="626">
        <f t="shared" si="83"/>
        <v>1.3651479648275526</v>
      </c>
      <c r="C732" s="172">
        <f t="shared" si="85"/>
        <v>1.4636907670507899</v>
      </c>
      <c r="D732" s="172">
        <f t="shared" si="86"/>
        <v>4.2887388173652967</v>
      </c>
      <c r="E732" s="626">
        <f t="shared" si="87"/>
        <v>1</v>
      </c>
      <c r="F732" s="597">
        <v>961</v>
      </c>
      <c r="G732" s="626">
        <f t="shared" si="84"/>
        <v>0.94551515629740224</v>
      </c>
      <c r="H732" s="172">
        <f t="shared" si="80"/>
        <v>0.70214510261229379</v>
      </c>
      <c r="I732" s="172">
        <f t="shared" si="81"/>
        <v>2.9704234688817239</v>
      </c>
      <c r="J732" s="626">
        <f t="shared" si="82"/>
        <v>1</v>
      </c>
      <c r="K732" s="597"/>
      <c r="L732" s="597"/>
      <c r="M732" s="598"/>
    </row>
    <row r="733" spans="1:13" x14ac:dyDescent="0.2">
      <c r="A733" s="12">
        <v>462</v>
      </c>
      <c r="B733" s="626">
        <f t="shared" si="83"/>
        <v>1.3636697316221214</v>
      </c>
      <c r="C733" s="172">
        <f t="shared" si="85"/>
        <v>1.4605226052173468</v>
      </c>
      <c r="D733" s="172">
        <f t="shared" si="86"/>
        <v>4.2840948107868213</v>
      </c>
      <c r="E733" s="626">
        <f t="shared" si="87"/>
        <v>1</v>
      </c>
      <c r="F733" s="597">
        <v>962</v>
      </c>
      <c r="G733" s="626">
        <f t="shared" si="84"/>
        <v>0.94502359652604651</v>
      </c>
      <c r="H733" s="172">
        <f t="shared" ref="H733:H772" si="88">PI()*G733^2/4</f>
        <v>0.70141522204824769</v>
      </c>
      <c r="I733" s="172">
        <f t="shared" ref="I733:I772" si="89">PI()*G733</f>
        <v>2.9688791883152326</v>
      </c>
      <c r="J733" s="626">
        <f t="shared" ref="J733:J772" si="90">IF(F733&lt;=$C$265,(I733*$I$265/PI()^2/H733)*SQRT(F733/$B$265),IF(F733&lt;$B$265,($C$270-$B$270)/($C$265-$B$265)*F733+($C$265*$B$270-$B$265*$C$270)/($C$265-$B$265),IF(F733=$B$265,0.45*SQRT(I733/$I$265),IF(F733&lt;$D$265,($B$270-$D$270)/($B$265-$D$265)*F733+($B$265*$D$270-$D$265*$B$270)/($B$265-$D$265),1))))</f>
        <v>1</v>
      </c>
      <c r="K733" s="597"/>
      <c r="L733" s="597"/>
      <c r="M733" s="598"/>
    </row>
    <row r="734" spans="1:13" x14ac:dyDescent="0.2">
      <c r="A734" s="12">
        <v>463</v>
      </c>
      <c r="B734" s="626">
        <f t="shared" si="83"/>
        <v>1.362196290098783</v>
      </c>
      <c r="C734" s="172">
        <f t="shared" si="85"/>
        <v>1.457368128748195</v>
      </c>
      <c r="D734" s="172">
        <f t="shared" si="86"/>
        <v>4.2794658577216076</v>
      </c>
      <c r="E734" s="626">
        <f t="shared" si="87"/>
        <v>1</v>
      </c>
      <c r="F734" s="597">
        <v>963</v>
      </c>
      <c r="G734" s="626">
        <f t="shared" si="84"/>
        <v>0.94453280262302619</v>
      </c>
      <c r="H734" s="172">
        <f t="shared" si="88"/>
        <v>0.70068685733168656</v>
      </c>
      <c r="I734" s="172">
        <f t="shared" si="89"/>
        <v>2.9673373137950771</v>
      </c>
      <c r="J734" s="626">
        <f t="shared" si="90"/>
        <v>1</v>
      </c>
      <c r="K734" s="597"/>
      <c r="L734" s="597"/>
      <c r="M734" s="598"/>
    </row>
    <row r="735" spans="1:13" x14ac:dyDescent="0.2">
      <c r="A735" s="12">
        <v>464</v>
      </c>
      <c r="B735" s="626">
        <f t="shared" si="83"/>
        <v>1.3607276144263496</v>
      </c>
      <c r="C735" s="172">
        <f t="shared" si="85"/>
        <v>1.4542272491603754</v>
      </c>
      <c r="D735" s="172">
        <f t="shared" si="86"/>
        <v>4.2748518770185848</v>
      </c>
      <c r="E735" s="626">
        <f t="shared" si="87"/>
        <v>1</v>
      </c>
      <c r="F735" s="597">
        <v>964</v>
      </c>
      <c r="G735" s="626">
        <f t="shared" si="84"/>
        <v>0.94404277260165281</v>
      </c>
      <c r="H735" s="172">
        <f t="shared" si="88"/>
        <v>0.69996000374524292</v>
      </c>
      <c r="I735" s="172">
        <f t="shared" si="89"/>
        <v>2.965797839079892</v>
      </c>
      <c r="J735" s="626">
        <f t="shared" si="90"/>
        <v>1</v>
      </c>
      <c r="K735" s="597"/>
      <c r="L735" s="597"/>
      <c r="M735" s="598"/>
    </row>
    <row r="736" spans="1:13" x14ac:dyDescent="0.2">
      <c r="A736" s="12">
        <v>465</v>
      </c>
      <c r="B736" s="626">
        <f t="shared" si="83"/>
        <v>1.3592636789681667</v>
      </c>
      <c r="C736" s="172">
        <f t="shared" si="85"/>
        <v>1.4510998787320737</v>
      </c>
      <c r="D736" s="172">
        <f t="shared" si="86"/>
        <v>4.2702527881378272</v>
      </c>
      <c r="E736" s="626">
        <f t="shared" si="87"/>
        <v>1</v>
      </c>
      <c r="F736" s="597">
        <v>965</v>
      </c>
      <c r="G736" s="626">
        <f t="shared" si="84"/>
        <v>0.94355350448244513</v>
      </c>
      <c r="H736" s="172">
        <f t="shared" si="88"/>
        <v>0.69923465659110273</v>
      </c>
      <c r="I736" s="172">
        <f t="shared" si="89"/>
        <v>2.9642607579509535</v>
      </c>
      <c r="J736" s="626">
        <f t="shared" si="90"/>
        <v>1</v>
      </c>
      <c r="K736" s="597"/>
      <c r="L736" s="597"/>
      <c r="M736" s="598"/>
    </row>
    <row r="737" spans="1:13" x14ac:dyDescent="0.2">
      <c r="A737" s="12">
        <v>466</v>
      </c>
      <c r="B737" s="626">
        <f t="shared" si="83"/>
        <v>1.3578044582802327</v>
      </c>
      <c r="C737" s="172">
        <f t="shared" si="85"/>
        <v>1.4479859304944511</v>
      </c>
      <c r="D737" s="172">
        <f t="shared" si="86"/>
        <v>4.2656685111446473</v>
      </c>
      <c r="E737" s="626">
        <f t="shared" si="87"/>
        <v>1</v>
      </c>
      <c r="F737" s="597">
        <v>966</v>
      </c>
      <c r="G737" s="626">
        <f t="shared" si="84"/>
        <v>0.94306499629309593</v>
      </c>
      <c r="H737" s="172">
        <f t="shared" si="88"/>
        <v>0.69851081119090497</v>
      </c>
      <c r="I737" s="172">
        <f t="shared" si="89"/>
        <v>2.9627260642120756</v>
      </c>
      <c r="J737" s="626">
        <f t="shared" si="90"/>
        <v>1</v>
      </c>
      <c r="K737" s="597"/>
      <c r="L737" s="597"/>
      <c r="M737" s="598"/>
    </row>
    <row r="738" spans="1:13" x14ac:dyDescent="0.2">
      <c r="A738" s="12">
        <v>467</v>
      </c>
      <c r="B738" s="626">
        <f t="shared" si="83"/>
        <v>1.3563499271093424</v>
      </c>
      <c r="C738" s="172">
        <f t="shared" si="85"/>
        <v>1.4448853182235852</v>
      </c>
      <c r="D738" s="172">
        <f t="shared" si="86"/>
        <v>4.261098966703762</v>
      </c>
      <c r="E738" s="626">
        <f t="shared" si="87"/>
        <v>1</v>
      </c>
      <c r="F738" s="597">
        <v>967</v>
      </c>
      <c r="G738" s="626">
        <f t="shared" si="84"/>
        <v>0.94257724606843851</v>
      </c>
      <c r="H738" s="172">
        <f t="shared" si="88"/>
        <v>0.69778846288564034</v>
      </c>
      <c r="I738" s="172">
        <f t="shared" si="89"/>
        <v>2.961193751689505</v>
      </c>
      <c r="J738" s="626">
        <f t="shared" si="90"/>
        <v>1</v>
      </c>
      <c r="K738" s="597"/>
      <c r="L738" s="597"/>
      <c r="M738" s="598"/>
    </row>
    <row r="739" spans="1:13" x14ac:dyDescent="0.2">
      <c r="A739" s="12">
        <v>468</v>
      </c>
      <c r="B739" s="626">
        <f t="shared" si="83"/>
        <v>1.3549000603912511</v>
      </c>
      <c r="C739" s="172">
        <f t="shared" si="85"/>
        <v>1.4417979564325092</v>
      </c>
      <c r="D739" s="172">
        <f t="shared" si="86"/>
        <v>4.2565440760735216</v>
      </c>
      <c r="E739" s="626">
        <f t="shared" si="87"/>
        <v>1</v>
      </c>
      <c r="F739" s="597">
        <v>968</v>
      </c>
      <c r="G739" s="626">
        <f t="shared" si="84"/>
        <v>0.9420902518504134</v>
      </c>
      <c r="H739" s="172">
        <f t="shared" si="88"/>
        <v>0.69706760703555182</v>
      </c>
      <c r="I739" s="172">
        <f t="shared" si="89"/>
        <v>2.9596638142318166</v>
      </c>
      <c r="J739" s="626">
        <f t="shared" si="90"/>
        <v>1</v>
      </c>
      <c r="K739" s="597"/>
      <c r="L739" s="597"/>
      <c r="M739" s="598"/>
    </row>
    <row r="740" spans="1:13" x14ac:dyDescent="0.2">
      <c r="A740" s="12">
        <v>469</v>
      </c>
      <c r="B740" s="626">
        <f t="shared" si="83"/>
        <v>1.3534548332488607</v>
      </c>
      <c r="C740" s="172">
        <f t="shared" si="85"/>
        <v>1.4387237603633565</v>
      </c>
      <c r="D740" s="172">
        <f t="shared" si="86"/>
        <v>4.2520037611002195</v>
      </c>
      <c r="E740" s="626">
        <f t="shared" si="87"/>
        <v>1</v>
      </c>
      <c r="F740" s="597">
        <v>969</v>
      </c>
      <c r="G740" s="626">
        <f t="shared" si="84"/>
        <v>0.94160401168803542</v>
      </c>
      <c r="H740" s="172">
        <f t="shared" si="88"/>
        <v>0.69634823902003518</v>
      </c>
      <c r="I740" s="172">
        <f t="shared" si="89"/>
        <v>2.9581362457098099</v>
      </c>
      <c r="J740" s="626">
        <f t="shared" si="90"/>
        <v>1</v>
      </c>
      <c r="K740" s="597"/>
      <c r="L740" s="597"/>
      <c r="M740" s="598"/>
    </row>
    <row r="741" spans="1:13" x14ac:dyDescent="0.2">
      <c r="A741" s="12">
        <v>470</v>
      </c>
      <c r="B741" s="626">
        <f t="shared" si="83"/>
        <v>1.3520142209904269</v>
      </c>
      <c r="C741" s="172">
        <f t="shared" si="85"/>
        <v>1.4356626459796045</v>
      </c>
      <c r="D741" s="172">
        <f t="shared" si="86"/>
        <v>4.2474779442124522</v>
      </c>
      <c r="E741" s="626">
        <f t="shared" si="87"/>
        <v>1</v>
      </c>
      <c r="F741" s="597">
        <v>970</v>
      </c>
      <c r="G741" s="626">
        <f t="shared" si="84"/>
        <v>0.94111852363736093</v>
      </c>
      <c r="H741" s="172">
        <f t="shared" si="88"/>
        <v>0.69563035423754038</v>
      </c>
      <c r="I741" s="172">
        <f t="shared" si="89"/>
        <v>2.956611040016405</v>
      </c>
      <c r="J741" s="626">
        <f t="shared" si="90"/>
        <v>1</v>
      </c>
      <c r="K741" s="597"/>
      <c r="L741" s="597"/>
      <c r="M741" s="598"/>
    </row>
    <row r="742" spans="1:13" x14ac:dyDescent="0.2">
      <c r="A742" s="12">
        <v>471</v>
      </c>
      <c r="B742" s="626">
        <f t="shared" si="83"/>
        <v>1.3505781991077872</v>
      </c>
      <c r="C742" s="172">
        <f t="shared" si="85"/>
        <v>1.4326145299584168</v>
      </c>
      <c r="D742" s="172">
        <f t="shared" si="86"/>
        <v>4.2429665484155574</v>
      </c>
      <c r="E742" s="626">
        <f t="shared" si="87"/>
        <v>1</v>
      </c>
      <c r="F742" s="597">
        <v>971</v>
      </c>
      <c r="G742" s="626">
        <f t="shared" si="84"/>
        <v>0.94063378576145507</v>
      </c>
      <c r="H742" s="172">
        <f t="shared" si="88"/>
        <v>0.69491394810547291</v>
      </c>
      <c r="I742" s="172">
        <f t="shared" si="89"/>
        <v>2.9550881910665425</v>
      </c>
      <c r="J742" s="626">
        <f t="shared" si="90"/>
        <v>1</v>
      </c>
      <c r="K742" s="597"/>
      <c r="L742" s="597"/>
      <c r="M742" s="598"/>
    </row>
    <row r="743" spans="1:13" x14ac:dyDescent="0.2">
      <c r="A743" s="12">
        <v>472</v>
      </c>
      <c r="B743" s="626">
        <f t="shared" si="83"/>
        <v>1.3491467432746096</v>
      </c>
      <c r="C743" s="172">
        <f t="shared" si="85"/>
        <v>1.429579329683081</v>
      </c>
      <c r="D743" s="172">
        <f t="shared" si="86"/>
        <v>4.2384694972861086</v>
      </c>
      <c r="E743" s="626">
        <f t="shared" si="87"/>
        <v>1</v>
      </c>
      <c r="F743" s="597">
        <v>972</v>
      </c>
      <c r="G743" s="626">
        <f t="shared" si="84"/>
        <v>0.94014979613035909</v>
      </c>
      <c r="H743" s="172">
        <f t="shared" si="88"/>
        <v>0.69419901606009693</v>
      </c>
      <c r="I743" s="172">
        <f t="shared" si="89"/>
        <v>2.953567692797078</v>
      </c>
      <c r="J743" s="626">
        <f t="shared" si="90"/>
        <v>1</v>
      </c>
      <c r="K743" s="597"/>
      <c r="L743" s="597"/>
      <c r="M743" s="598"/>
    </row>
    <row r="744" spans="1:13" x14ac:dyDescent="0.2">
      <c r="A744" s="12">
        <v>473</v>
      </c>
      <c r="B744" s="626">
        <f t="shared" si="83"/>
        <v>1.3477198293446622</v>
      </c>
      <c r="C744" s="172">
        <f t="shared" si="85"/>
        <v>1.4265569632355479</v>
      </c>
      <c r="D744" s="172">
        <f t="shared" si="86"/>
        <v>4.2339867149664805</v>
      </c>
      <c r="E744" s="626">
        <f t="shared" si="87"/>
        <v>1</v>
      </c>
      <c r="F744" s="597">
        <v>973</v>
      </c>
      <c r="G744" s="626">
        <f t="shared" si="84"/>
        <v>0.93966655282105871</v>
      </c>
      <c r="H744" s="172">
        <f t="shared" si="88"/>
        <v>0.69348555355643804</v>
      </c>
      <c r="I744" s="172">
        <f t="shared" si="89"/>
        <v>2.9520495391666834</v>
      </c>
      <c r="J744" s="626">
        <f t="shared" si="90"/>
        <v>1</v>
      </c>
      <c r="K744" s="597"/>
      <c r="L744" s="597"/>
      <c r="M744" s="598"/>
    </row>
    <row r="745" spans="1:13" x14ac:dyDescent="0.2">
      <c r="A745" s="12">
        <v>474</v>
      </c>
      <c r="B745" s="626">
        <f t="shared" si="83"/>
        <v>1.3462974333501025</v>
      </c>
      <c r="C745" s="172">
        <f t="shared" si="85"/>
        <v>1.4235473493890596</v>
      </c>
      <c r="D745" s="172">
        <f t="shared" si="86"/>
        <v>4.2295181261594763</v>
      </c>
      <c r="E745" s="626">
        <f t="shared" si="87"/>
        <v>1</v>
      </c>
      <c r="F745" s="597">
        <v>974</v>
      </c>
      <c r="G745" s="626">
        <f t="shared" si="84"/>
        <v>0.93918405391745141</v>
      </c>
      <c r="H745" s="172">
        <f t="shared" si="88"/>
        <v>0.69277355606818714</v>
      </c>
      <c r="I745" s="172">
        <f t="shared" si="89"/>
        <v>2.9505337241557457</v>
      </c>
      <c r="J745" s="626">
        <f t="shared" si="90"/>
        <v>1</v>
      </c>
      <c r="K745" s="597"/>
      <c r="L745" s="597"/>
      <c r="M745" s="598"/>
    </row>
    <row r="746" spans="1:13" x14ac:dyDescent="0.2">
      <c r="A746" s="12">
        <v>475</v>
      </c>
      <c r="B746" s="626">
        <f t="shared" si="83"/>
        <v>1.3448795314997861</v>
      </c>
      <c r="C746" s="172">
        <f t="shared" si="85"/>
        <v>1.4205504076008721</v>
      </c>
      <c r="D746" s="172">
        <f t="shared" si="86"/>
        <v>4.2250636561230106</v>
      </c>
      <c r="E746" s="626">
        <f t="shared" si="87"/>
        <v>1</v>
      </c>
      <c r="F746" s="597">
        <v>975</v>
      </c>
      <c r="G746" s="626">
        <f t="shared" si="84"/>
        <v>0.93870229751031486</v>
      </c>
      <c r="H746" s="172">
        <f t="shared" si="88"/>
        <v>0.69206301908760437</v>
      </c>
      <c r="I746" s="172">
        <f t="shared" si="89"/>
        <v>2.9490202417662656</v>
      </c>
      <c r="J746" s="626">
        <f t="shared" si="90"/>
        <v>1</v>
      </c>
      <c r="K746" s="597"/>
      <c r="L746" s="597"/>
      <c r="M746" s="598"/>
    </row>
    <row r="747" spans="1:13" x14ac:dyDescent="0.2">
      <c r="A747" s="12">
        <v>476</v>
      </c>
      <c r="B747" s="626">
        <f t="shared" si="83"/>
        <v>1.3434661001775956</v>
      </c>
      <c r="C747" s="172">
        <f t="shared" si="85"/>
        <v>1.4175660580050722</v>
      </c>
      <c r="D747" s="172">
        <f t="shared" si="86"/>
        <v>4.220623230664863</v>
      </c>
      <c r="E747" s="626">
        <f t="shared" si="87"/>
        <v>1</v>
      </c>
      <c r="F747" s="597">
        <v>976</v>
      </c>
      <c r="G747" s="626">
        <f t="shared" si="84"/>
        <v>0.93822128169727492</v>
      </c>
      <c r="H747" s="172">
        <f t="shared" si="88"/>
        <v>0.69135393812542445</v>
      </c>
      <c r="I747" s="172">
        <f t="shared" si="89"/>
        <v>2.9475090860217588</v>
      </c>
      <c r="J747" s="626">
        <f t="shared" si="90"/>
        <v>1</v>
      </c>
      <c r="K747" s="597"/>
      <c r="L747" s="597"/>
      <c r="M747" s="598"/>
    </row>
    <row r="748" spans="1:13" x14ac:dyDescent="0.2">
      <c r="A748" s="12">
        <v>477</v>
      </c>
      <c r="B748" s="626">
        <f t="shared" si="83"/>
        <v>1.3420571159407881</v>
      </c>
      <c r="C748" s="172">
        <f t="shared" si="85"/>
        <v>1.4145942214054805</v>
      </c>
      <c r="D748" s="172">
        <f t="shared" si="86"/>
        <v>4.216196776137485</v>
      </c>
      <c r="E748" s="626">
        <f t="shared" si="87"/>
        <v>1</v>
      </c>
      <c r="F748" s="597">
        <v>977</v>
      </c>
      <c r="G748" s="626">
        <f t="shared" si="84"/>
        <v>0.93774100458277443</v>
      </c>
      <c r="H748" s="172">
        <f t="shared" si="88"/>
        <v>0.69064630871076182</v>
      </c>
      <c r="I748" s="172">
        <f t="shared" si="89"/>
        <v>2.9460002509671566</v>
      </c>
      <c r="J748" s="626">
        <f t="shared" si="90"/>
        <v>1</v>
      </c>
      <c r="K748" s="597"/>
      <c r="L748" s="597"/>
      <c r="M748" s="598"/>
    </row>
    <row r="749" spans="1:13" x14ac:dyDescent="0.2">
      <c r="A749" s="12">
        <v>478</v>
      </c>
      <c r="B749" s="626">
        <f t="shared" si="83"/>
        <v>1.3406525555183635</v>
      </c>
      <c r="C749" s="172">
        <f t="shared" si="85"/>
        <v>1.4116348192686492</v>
      </c>
      <c r="D749" s="172">
        <f t="shared" si="86"/>
        <v>4.2117842194328734</v>
      </c>
      <c r="E749" s="626">
        <f t="shared" si="87"/>
        <v>1</v>
      </c>
      <c r="F749" s="597">
        <v>978</v>
      </c>
      <c r="G749" s="626">
        <f t="shared" si="84"/>
        <v>0.93726146427804158</v>
      </c>
      <c r="H749" s="172">
        <f t="shared" si="88"/>
        <v>0.68994012639101665</v>
      </c>
      <c r="I749" s="172">
        <f t="shared" si="89"/>
        <v>2.9444937306687078</v>
      </c>
      <c r="J749" s="626">
        <f t="shared" si="90"/>
        <v>1</v>
      </c>
      <c r="K749" s="597"/>
      <c r="L749" s="597"/>
      <c r="M749" s="598"/>
    </row>
    <row r="750" spans="1:13" x14ac:dyDescent="0.2">
      <c r="A750" s="12">
        <v>479</v>
      </c>
      <c r="B750" s="626">
        <f t="shared" si="83"/>
        <v>1.339252395809448</v>
      </c>
      <c r="C750" s="172">
        <f t="shared" si="85"/>
        <v>1.4086877737169399</v>
      </c>
      <c r="D750" s="172">
        <f t="shared" si="86"/>
        <v>4.2073854879774917</v>
      </c>
      <c r="E750" s="626">
        <f t="shared" si="87"/>
        <v>1</v>
      </c>
      <c r="F750" s="597">
        <v>979</v>
      </c>
      <c r="G750" s="626">
        <f t="shared" si="84"/>
        <v>0.93678265890105883</v>
      </c>
      <c r="H750" s="172">
        <f t="shared" si="88"/>
        <v>0.68923538673178164</v>
      </c>
      <c r="I750" s="172">
        <f t="shared" si="89"/>
        <v>2.9429895192138793</v>
      </c>
      <c r="J750" s="626">
        <f t="shared" si="90"/>
        <v>1</v>
      </c>
      <c r="K750" s="597"/>
      <c r="L750" s="597"/>
      <c r="M750" s="598"/>
    </row>
    <row r="751" spans="1:13" x14ac:dyDescent="0.2">
      <c r="A751" s="12">
        <v>480</v>
      </c>
      <c r="B751" s="626">
        <f t="shared" si="83"/>
        <v>1.3378566138817007</v>
      </c>
      <c r="C751" s="172">
        <f t="shared" si="85"/>
        <v>1.4057530075216962</v>
      </c>
      <c r="D751" s="172">
        <f t="shared" si="86"/>
        <v>4.2030005097272678</v>
      </c>
      <c r="E751" s="626">
        <f t="shared" si="87"/>
        <v>1</v>
      </c>
      <c r="F751" s="597">
        <v>980</v>
      </c>
      <c r="G751" s="626">
        <f t="shared" si="84"/>
        <v>0.93630458657653171</v>
      </c>
      <c r="H751" s="172">
        <f t="shared" si="88"/>
        <v>0.68853208531674914</v>
      </c>
      <c r="I751" s="172">
        <f t="shared" si="89"/>
        <v>2.9414876107112606</v>
      </c>
      <c r="J751" s="626">
        <f t="shared" si="90"/>
        <v>1</v>
      </c>
      <c r="K751" s="597"/>
      <c r="L751" s="597"/>
      <c r="M751" s="598"/>
    </row>
    <row r="752" spans="1:13" x14ac:dyDescent="0.2">
      <c r="A752" s="12">
        <v>481</v>
      </c>
      <c r="B752" s="626">
        <f t="shared" si="83"/>
        <v>1.3364651869697346</v>
      </c>
      <c r="C752" s="172">
        <f t="shared" si="85"/>
        <v>1.4028304440964952</v>
      </c>
      <c r="D752" s="172">
        <f t="shared" si="86"/>
        <v>4.1986292131626275</v>
      </c>
      <c r="E752" s="626">
        <f t="shared" si="87"/>
        <v>1</v>
      </c>
      <c r="F752" s="597">
        <v>981</v>
      </c>
      <c r="G752" s="626">
        <f t="shared" si="84"/>
        <v>0.93582724543585838</v>
      </c>
      <c r="H752" s="172">
        <f t="shared" si="88"/>
        <v>0.68783021774761899</v>
      </c>
      <c r="I752" s="172">
        <f t="shared" si="89"/>
        <v>2.9399879992904649</v>
      </c>
      <c r="J752" s="626">
        <f t="shared" si="90"/>
        <v>1</v>
      </c>
      <c r="K752" s="597"/>
      <c r="L752" s="597"/>
      <c r="M752" s="598"/>
    </row>
    <row r="753" spans="1:13" x14ac:dyDescent="0.2">
      <c r="A753" s="12">
        <v>482</v>
      </c>
      <c r="B753" s="626">
        <f t="shared" si="83"/>
        <v>1.335078092473557</v>
      </c>
      <c r="C753" s="172">
        <f t="shared" si="85"/>
        <v>1.3999200074904858</v>
      </c>
      <c r="D753" s="172">
        <f t="shared" si="86"/>
        <v>4.1942715272836013</v>
      </c>
      <c r="E753" s="626">
        <f t="shared" si="87"/>
        <v>1</v>
      </c>
      <c r="F753" s="597">
        <v>982</v>
      </c>
      <c r="G753" s="626">
        <f t="shared" si="84"/>
        <v>0.93535063361709836</v>
      </c>
      <c r="H753" s="172">
        <f t="shared" si="88"/>
        <v>0.68712977964400634</v>
      </c>
      <c r="I753" s="172">
        <f t="shared" si="89"/>
        <v>2.9384906791020344</v>
      </c>
      <c r="J753" s="626">
        <f t="shared" si="90"/>
        <v>1</v>
      </c>
      <c r="K753" s="597"/>
      <c r="L753" s="597"/>
      <c r="M753" s="598"/>
    </row>
    <row r="754" spans="1:13" x14ac:dyDescent="0.2">
      <c r="A754" s="12">
        <v>483</v>
      </c>
      <c r="B754" s="626">
        <f t="shared" si="83"/>
        <v>1.3336953079570288</v>
      </c>
      <c r="C754" s="172">
        <f t="shared" si="85"/>
        <v>1.3970216223818099</v>
      </c>
      <c r="D754" s="172">
        <f t="shared" si="86"/>
        <v>4.1899273816049787</v>
      </c>
      <c r="E754" s="626">
        <f t="shared" si="87"/>
        <v>1</v>
      </c>
      <c r="F754" s="597">
        <v>983</v>
      </c>
      <c r="G754" s="626">
        <f t="shared" si="84"/>
        <v>0.93487474926494263</v>
      </c>
      <c r="H754" s="172">
        <f t="shared" si="88"/>
        <v>0.68643076664335134</v>
      </c>
      <c r="I754" s="172">
        <f t="shared" si="89"/>
        <v>2.9369956443173435</v>
      </c>
      <c r="J754" s="626">
        <f t="shared" si="90"/>
        <v>1</v>
      </c>
      <c r="K754" s="597"/>
      <c r="L754" s="597"/>
      <c r="M754" s="598"/>
    </row>
    <row r="755" spans="1:13" x14ac:dyDescent="0.2">
      <c r="A755" s="12">
        <v>484</v>
      </c>
      <c r="B755" s="626">
        <f t="shared" si="83"/>
        <v>1.3323168111463395</v>
      </c>
      <c r="C755" s="172">
        <f t="shared" si="85"/>
        <v>1.3941352140711039</v>
      </c>
      <c r="D755" s="172">
        <f t="shared" si="86"/>
        <v>4.1855967061515198</v>
      </c>
      <c r="E755" s="626">
        <f t="shared" si="87"/>
        <v>1</v>
      </c>
      <c r="F755" s="597">
        <v>984</v>
      </c>
      <c r="G755" s="626">
        <f t="shared" si="84"/>
        <v>0.93439959053068267</v>
      </c>
      <c r="H755" s="172">
        <f t="shared" si="88"/>
        <v>0.68573317440082737</v>
      </c>
      <c r="I755" s="172">
        <f t="shared" si="89"/>
        <v>2.9355028891285033</v>
      </c>
      <c r="J755" s="626">
        <f t="shared" si="90"/>
        <v>1</v>
      </c>
      <c r="K755" s="597"/>
      <c r="L755" s="597"/>
      <c r="M755" s="598"/>
    </row>
    <row r="756" spans="1:13" x14ac:dyDescent="0.2">
      <c r="A756" s="12">
        <v>485</v>
      </c>
      <c r="B756" s="626">
        <f t="shared" si="83"/>
        <v>1.3309425799285002</v>
      </c>
      <c r="C756" s="172">
        <f t="shared" si="85"/>
        <v>1.391260708475081</v>
      </c>
      <c r="D756" s="172">
        <f t="shared" si="86"/>
        <v>4.1812794314532225</v>
      </c>
      <c r="E756" s="626">
        <f t="shared" si="87"/>
        <v>1</v>
      </c>
      <c r="F756" s="597">
        <v>985</v>
      </c>
      <c r="G756" s="626">
        <f t="shared" si="84"/>
        <v>0.93392515557218114</v>
      </c>
      <c r="H756" s="172">
        <f t="shared" si="88"/>
        <v>0.68503699858925293</v>
      </c>
      <c r="I756" s="172">
        <f t="shared" si="89"/>
        <v>2.934012407748269</v>
      </c>
      <c r="J756" s="626">
        <f t="shared" si="90"/>
        <v>1</v>
      </c>
      <c r="K756" s="597"/>
      <c r="L756" s="597"/>
      <c r="M756" s="598"/>
    </row>
    <row r="757" spans="1:13" x14ac:dyDescent="0.2">
      <c r="A757" s="12">
        <v>486</v>
      </c>
      <c r="B757" s="626">
        <f t="shared" si="83"/>
        <v>1.3295725923498543</v>
      </c>
      <c r="C757" s="172">
        <f t="shared" si="85"/>
        <v>1.3883980321201941</v>
      </c>
      <c r="D757" s="172">
        <f t="shared" si="86"/>
        <v>4.1769754885406387</v>
      </c>
      <c r="E757" s="626">
        <f t="shared" si="87"/>
        <v>1</v>
      </c>
      <c r="F757" s="597">
        <v>986</v>
      </c>
      <c r="G757" s="626">
        <f t="shared" si="84"/>
        <v>0.93345144255384105</v>
      </c>
      <c r="H757" s="172">
        <f t="shared" si="88"/>
        <v>0.68434223489900026</v>
      </c>
      <c r="I757" s="172">
        <f t="shared" si="89"/>
        <v>2.9325241944099418</v>
      </c>
      <c r="J757" s="626">
        <f t="shared" si="90"/>
        <v>1</v>
      </c>
      <c r="K757" s="597"/>
      <c r="L757" s="597"/>
      <c r="M757" s="598"/>
    </row>
    <row r="758" spans="1:13" x14ac:dyDescent="0.2">
      <c r="A758" s="12">
        <v>487</v>
      </c>
      <c r="B758" s="626">
        <f t="shared" si="83"/>
        <v>1.3282068266146039</v>
      </c>
      <c r="C758" s="172">
        <f t="shared" si="85"/>
        <v>1.385547112136374</v>
      </c>
      <c r="D758" s="172">
        <f t="shared" si="86"/>
        <v>4.172684808940252</v>
      </c>
      <c r="E758" s="626">
        <f t="shared" si="87"/>
        <v>1</v>
      </c>
      <c r="F758" s="597">
        <v>987</v>
      </c>
      <c r="G758" s="626">
        <f t="shared" si="84"/>
        <v>0.93297844964657628</v>
      </c>
      <c r="H758" s="172">
        <f t="shared" si="88"/>
        <v>0.68364887903790694</v>
      </c>
      <c r="I758" s="172">
        <f t="shared" si="89"/>
        <v>2.9310382433672788</v>
      </c>
      <c r="J758" s="626">
        <f t="shared" si="90"/>
        <v>1</v>
      </c>
      <c r="K758" s="597"/>
      <c r="L758" s="597"/>
      <c r="M758" s="598"/>
    </row>
    <row r="759" spans="1:13" x14ac:dyDescent="0.2">
      <c r="A759" s="12">
        <v>488</v>
      </c>
      <c r="B759" s="626">
        <f t="shared" si="83"/>
        <v>1.3268452610833543</v>
      </c>
      <c r="C759" s="172">
        <f t="shared" si="85"/>
        <v>1.3827078762508489</v>
      </c>
      <c r="D759" s="172">
        <f t="shared" si="86"/>
        <v>4.1684073246698974</v>
      </c>
      <c r="E759" s="626">
        <f t="shared" si="87"/>
        <v>1</v>
      </c>
      <c r="F759" s="597">
        <v>988</v>
      </c>
      <c r="G759" s="626">
        <f t="shared" si="84"/>
        <v>0.93250617502778199</v>
      </c>
      <c r="H759" s="172">
        <f t="shared" si="88"/>
        <v>0.68295692673118857</v>
      </c>
      <c r="I759" s="172">
        <f t="shared" si="89"/>
        <v>2.9295545488943975</v>
      </c>
      <c r="J759" s="626">
        <f t="shared" si="90"/>
        <v>1</v>
      </c>
      <c r="K759" s="597"/>
      <c r="L759" s="597"/>
      <c r="M759" s="598"/>
    </row>
    <row r="760" spans="1:13" x14ac:dyDescent="0.2">
      <c r="A760" s="12">
        <v>489</v>
      </c>
      <c r="B760" s="626">
        <f t="shared" si="83"/>
        <v>1.3254878742716725</v>
      </c>
      <c r="C760" s="172">
        <f t="shared" si="85"/>
        <v>1.3798802527820331</v>
      </c>
      <c r="D760" s="172">
        <f t="shared" si="86"/>
        <v>4.1641429682342377</v>
      </c>
      <c r="E760" s="626">
        <f t="shared" si="87"/>
        <v>1</v>
      </c>
      <c r="F760" s="597">
        <v>989</v>
      </c>
      <c r="G760" s="626">
        <f t="shared" si="84"/>
        <v>0.93203461688130496</v>
      </c>
      <c r="H760" s="172">
        <f t="shared" si="88"/>
        <v>0.68226637372134913</v>
      </c>
      <c r="I760" s="172">
        <f t="shared" si="89"/>
        <v>2.928073105285685</v>
      </c>
      <c r="J760" s="626">
        <f t="shared" si="90"/>
        <v>1</v>
      </c>
      <c r="K760" s="597"/>
      <c r="L760" s="597"/>
      <c r="M760" s="598"/>
    </row>
    <row r="761" spans="1:13" x14ac:dyDescent="0.2">
      <c r="A761" s="12">
        <v>490</v>
      </c>
      <c r="B761" s="626">
        <f t="shared" si="83"/>
        <v>1.3241346448486648</v>
      </c>
      <c r="C761" s="172">
        <f t="shared" si="85"/>
        <v>1.3770641706334983</v>
      </c>
      <c r="D761" s="172">
        <f t="shared" si="86"/>
        <v>4.1598916726202955</v>
      </c>
      <c r="E761" s="626">
        <f t="shared" si="87"/>
        <v>1</v>
      </c>
      <c r="F761" s="597">
        <v>990</v>
      </c>
      <c r="G761" s="626">
        <f t="shared" si="84"/>
        <v>0.93156377339741436</v>
      </c>
      <c r="H761" s="172">
        <f t="shared" si="88"/>
        <v>0.68157721576809505</v>
      </c>
      <c r="I761" s="172">
        <f t="shared" si="89"/>
        <v>2.9265939068557039</v>
      </c>
      <c r="J761" s="626">
        <f t="shared" si="90"/>
        <v>1</v>
      </c>
      <c r="K761" s="597"/>
      <c r="L761" s="597"/>
      <c r="M761" s="598"/>
    </row>
    <row r="762" spans="1:13" x14ac:dyDescent="0.2">
      <c r="A762" s="12">
        <v>491</v>
      </c>
      <c r="B762" s="626">
        <f t="shared" si="83"/>
        <v>1.3227855516355682</v>
      </c>
      <c r="C762" s="172">
        <f t="shared" si="85"/>
        <v>1.3742595592880125</v>
      </c>
      <c r="D762" s="172">
        <f t="shared" si="86"/>
        <v>4.155653371293023</v>
      </c>
      <c r="E762" s="626">
        <f t="shared" si="87"/>
        <v>1</v>
      </c>
      <c r="F762" s="597">
        <v>991</v>
      </c>
      <c r="G762" s="626">
        <f t="shared" si="84"/>
        <v>0.93109364277277284</v>
      </c>
      <c r="H762" s="172">
        <f t="shared" si="88"/>
        <v>0.68088944864824852</v>
      </c>
      <c r="I762" s="172">
        <f t="shared" si="89"/>
        <v>2.9251169479391024</v>
      </c>
      <c r="J762" s="626">
        <f t="shared" si="90"/>
        <v>1</v>
      </c>
      <c r="K762" s="597"/>
      <c r="L762" s="597"/>
      <c r="M762" s="598"/>
    </row>
    <row r="763" spans="1:13" x14ac:dyDescent="0.2">
      <c r="A763" s="12">
        <v>492</v>
      </c>
      <c r="B763" s="626">
        <f t="shared" si="83"/>
        <v>1.3214405736043582</v>
      </c>
      <c r="C763" s="172">
        <f t="shared" si="85"/>
        <v>1.3714663488016552</v>
      </c>
      <c r="D763" s="172">
        <f t="shared" si="86"/>
        <v>4.1514279981909343</v>
      </c>
      <c r="E763" s="626">
        <f t="shared" si="87"/>
        <v>1</v>
      </c>
      <c r="F763" s="597">
        <v>992</v>
      </c>
      <c r="G763" s="626">
        <f t="shared" si="84"/>
        <v>0.93062422321040661</v>
      </c>
      <c r="H763" s="172">
        <f t="shared" si="88"/>
        <v>0.68020306815565945</v>
      </c>
      <c r="I763" s="172">
        <f t="shared" si="89"/>
        <v>2.9236422228905212</v>
      </c>
      <c r="J763" s="626">
        <f t="shared" si="90"/>
        <v>1</v>
      </c>
      <c r="K763" s="597"/>
      <c r="L763" s="597"/>
      <c r="M763" s="598"/>
    </row>
    <row r="764" spans="1:13" x14ac:dyDescent="0.2">
      <c r="A764" s="12">
        <v>493</v>
      </c>
      <c r="B764" s="626">
        <f t="shared" si="83"/>
        <v>1.3200996898763719</v>
      </c>
      <c r="C764" s="172">
        <f t="shared" si="85"/>
        <v>1.3686844697980003</v>
      </c>
      <c r="D764" s="172">
        <f t="shared" si="86"/>
        <v>4.1472154877217742</v>
      </c>
      <c r="E764" s="626">
        <f t="shared" si="87"/>
        <v>1</v>
      </c>
      <c r="F764" s="597">
        <v>993</v>
      </c>
      <c r="G764" s="626">
        <f t="shared" si="84"/>
        <v>0.93015551291967791</v>
      </c>
      <c r="H764" s="172">
        <f t="shared" si="88"/>
        <v>0.67951807010112208</v>
      </c>
      <c r="I764" s="172">
        <f t="shared" si="89"/>
        <v>2.9221697260845061</v>
      </c>
      <c r="J764" s="626">
        <f t="shared" si="90"/>
        <v>1</v>
      </c>
      <c r="K764" s="597"/>
      <c r="L764" s="597"/>
      <c r="M764" s="598"/>
    </row>
    <row r="765" spans="1:13" x14ac:dyDescent="0.2">
      <c r="A765" s="12">
        <v>494</v>
      </c>
      <c r="B765" s="626">
        <f t="shared" si="83"/>
        <v>1.3187628797209485</v>
      </c>
      <c r="C765" s="172">
        <f t="shared" si="85"/>
        <v>1.3659138534623771</v>
      </c>
      <c r="D765" s="172">
        <f t="shared" si="86"/>
        <v>4.1430157747582514</v>
      </c>
      <c r="E765" s="626">
        <f t="shared" si="87"/>
        <v>1</v>
      </c>
      <c r="F765" s="597">
        <v>994</v>
      </c>
      <c r="G765" s="626">
        <f t="shared" si="84"/>
        <v>0.92968751011625517</v>
      </c>
      <c r="H765" s="172">
        <f t="shared" si="88"/>
        <v>0.67883445031228806</v>
      </c>
      <c r="I765" s="172">
        <f t="shared" si="89"/>
        <v>2.9206994519154139</v>
      </c>
      <c r="J765" s="626">
        <f t="shared" si="90"/>
        <v>1</v>
      </c>
      <c r="K765" s="597"/>
      <c r="L765" s="597"/>
      <c r="M765" s="598"/>
    </row>
    <row r="766" spans="1:13" x14ac:dyDescent="0.2">
      <c r="A766" s="12">
        <v>495</v>
      </c>
      <c r="B766" s="626">
        <f t="shared" si="83"/>
        <v>1.3174301225540801</v>
      </c>
      <c r="C766" s="172">
        <f t="shared" si="85"/>
        <v>1.3631544315361903</v>
      </c>
      <c r="D766" s="172">
        <f t="shared" si="86"/>
        <v>4.1388287946337989</v>
      </c>
      <c r="E766" s="626">
        <f t="shared" si="87"/>
        <v>1</v>
      </c>
      <c r="F766" s="597">
        <v>995</v>
      </c>
      <c r="G766" s="626">
        <f t="shared" si="84"/>
        <v>0.92922021302208502</v>
      </c>
      <c r="H766" s="172">
        <f t="shared" si="88"/>
        <v>0.67815220463358217</v>
      </c>
      <c r="I766" s="172">
        <f t="shared" si="89"/>
        <v>2.919231394797325</v>
      </c>
      <c r="J766" s="626">
        <f t="shared" si="90"/>
        <v>1</v>
      </c>
      <c r="K766" s="597"/>
      <c r="L766" s="597"/>
      <c r="M766" s="598"/>
    </row>
    <row r="767" spans="1:13" x14ac:dyDescent="0.2">
      <c r="A767" s="12">
        <v>496</v>
      </c>
      <c r="B767" s="626">
        <f t="shared" si="83"/>
        <v>1.3161013979370835</v>
      </c>
      <c r="C767" s="172">
        <f t="shared" si="85"/>
        <v>1.3604061363113189</v>
      </c>
      <c r="D767" s="172">
        <f t="shared" si="86"/>
        <v>4.134654483138398</v>
      </c>
      <c r="E767" s="626">
        <f t="shared" si="87"/>
        <v>1</v>
      </c>
      <c r="F767" s="597">
        <v>996</v>
      </c>
      <c r="G767" s="626">
        <f t="shared" si="84"/>
        <v>0.92875361986536398</v>
      </c>
      <c r="H767" s="172">
        <f t="shared" si="88"/>
        <v>0.67747132892611861</v>
      </c>
      <c r="I767" s="172">
        <f t="shared" si="89"/>
        <v>2.9177655491639549</v>
      </c>
      <c r="J767" s="626">
        <f t="shared" si="90"/>
        <v>1</v>
      </c>
      <c r="K767" s="597"/>
      <c r="L767" s="597"/>
      <c r="M767" s="598"/>
    </row>
    <row r="768" spans="1:13" x14ac:dyDescent="0.2">
      <c r="A768" s="12">
        <v>497</v>
      </c>
      <c r="B768" s="626">
        <f t="shared" si="83"/>
        <v>1.314776685575282</v>
      </c>
      <c r="C768" s="172">
        <f t="shared" si="85"/>
        <v>1.3576689006245761</v>
      </c>
      <c r="D768" s="172">
        <f t="shared" si="86"/>
        <v>4.1304927765144432</v>
      </c>
      <c r="E768" s="626">
        <f t="shared" si="87"/>
        <v>1</v>
      </c>
      <c r="F768" s="597">
        <v>997</v>
      </c>
      <c r="G768" s="626">
        <f t="shared" si="84"/>
        <v>0.92828772888051014</v>
      </c>
      <c r="H768" s="172">
        <f t="shared" si="88"/>
        <v>0.6767918190676171</v>
      </c>
      <c r="I768" s="172">
        <f t="shared" si="89"/>
        <v>2.9163019094685643</v>
      </c>
      <c r="J768" s="626">
        <f t="shared" si="90"/>
        <v>1</v>
      </c>
      <c r="K768" s="597"/>
      <c r="L768" s="597"/>
      <c r="M768" s="598"/>
    </row>
    <row r="769" spans="1:13" x14ac:dyDescent="0.2">
      <c r="A769" s="12">
        <v>498</v>
      </c>
      <c r="B769" s="626">
        <f t="shared" si="83"/>
        <v>1.3134559653167037</v>
      </c>
      <c r="C769" s="172">
        <f t="shared" si="85"/>
        <v>1.3549426578522372</v>
      </c>
      <c r="D769" s="172">
        <f t="shared" si="86"/>
        <v>4.1263436114526462</v>
      </c>
      <c r="E769" s="626">
        <f t="shared" si="87"/>
        <v>1</v>
      </c>
      <c r="F769" s="597">
        <v>998</v>
      </c>
      <c r="G769" s="626">
        <f t="shared" si="84"/>
        <v>0.92782253830813466</v>
      </c>
      <c r="H769" s="172">
        <f t="shared" si="88"/>
        <v>0.67611367095231889</v>
      </c>
      <c r="I769" s="172">
        <f t="shared" si="89"/>
        <v>2.9148404701838704</v>
      </c>
      <c r="J769" s="626">
        <f t="shared" si="90"/>
        <v>1</v>
      </c>
      <c r="K769" s="597"/>
      <c r="L769" s="597"/>
      <c r="M769" s="598"/>
    </row>
    <row r="770" spans="1:13" x14ac:dyDescent="0.2">
      <c r="A770" s="12">
        <v>499</v>
      </c>
      <c r="B770" s="626">
        <f t="shared" si="83"/>
        <v>1.3121392171507946</v>
      </c>
      <c r="C770" s="172">
        <f t="shared" si="85"/>
        <v>1.3522273419046378</v>
      </c>
      <c r="D770" s="172">
        <f t="shared" si="86"/>
        <v>4.1222069250879985</v>
      </c>
      <c r="E770" s="626">
        <f t="shared" si="87"/>
        <v>1</v>
      </c>
      <c r="F770" s="597">
        <v>999</v>
      </c>
      <c r="G770" s="626">
        <f t="shared" si="84"/>
        <v>0.92735804639501485</v>
      </c>
      <c r="H770" s="172">
        <f t="shared" si="88"/>
        <v>0.675436880490905</v>
      </c>
      <c r="I770" s="172">
        <f t="shared" si="89"/>
        <v>2.9133812258019613</v>
      </c>
      <c r="J770" s="626">
        <f t="shared" si="90"/>
        <v>1</v>
      </c>
      <c r="K770" s="597"/>
      <c r="L770" s="597"/>
      <c r="M770" s="598"/>
    </row>
    <row r="771" spans="1:13" x14ac:dyDescent="0.2">
      <c r="A771" s="12">
        <v>500</v>
      </c>
      <c r="B771" s="626">
        <f t="shared" si="83"/>
        <v>1.3108264212071445</v>
      </c>
      <c r="C771" s="172">
        <f t="shared" si="85"/>
        <v>1.3495228872208287</v>
      </c>
      <c r="D771" s="172">
        <f t="shared" si="86"/>
        <v>4.1180826549957654</v>
      </c>
      <c r="E771" s="626">
        <f t="shared" si="87"/>
        <v>1</v>
      </c>
      <c r="F771" s="597">
        <v>1000</v>
      </c>
      <c r="G771" s="626">
        <f t="shared" si="84"/>
        <v>0.92689425139406545</v>
      </c>
      <c r="H771" s="172">
        <f t="shared" si="88"/>
        <v>0.67476144361041424</v>
      </c>
      <c r="I771" s="172">
        <f t="shared" si="89"/>
        <v>2.9119241708342067</v>
      </c>
      <c r="J771" s="626">
        <f t="shared" si="90"/>
        <v>1</v>
      </c>
      <c r="K771" s="597"/>
      <c r="L771" s="597"/>
      <c r="M771" s="598"/>
    </row>
    <row r="772" spans="1:13" ht="12" thickBot="1" x14ac:dyDescent="0.25">
      <c r="A772" s="23"/>
      <c r="B772" s="603"/>
      <c r="C772" s="603"/>
      <c r="D772" s="603"/>
      <c r="E772" s="603"/>
      <c r="F772" s="603">
        <v>1001</v>
      </c>
      <c r="G772" s="173">
        <f t="shared" si="84"/>
        <v>0.92643115156431144</v>
      </c>
      <c r="H772" s="174">
        <f t="shared" si="88"/>
        <v>0.67408735625416005</v>
      </c>
      <c r="I772" s="174">
        <f t="shared" si="89"/>
        <v>2.9104692998111732</v>
      </c>
      <c r="J772" s="173">
        <f t="shared" si="90"/>
        <v>1</v>
      </c>
      <c r="K772" s="603"/>
      <c r="L772" s="603"/>
      <c r="M772" s="604"/>
    </row>
  </sheetData>
  <sheetProtection password="8F80" sheet="1" objects="1" scenarios="1"/>
  <mergeCells count="592">
    <mergeCell ref="F69:G69"/>
    <mergeCell ref="I69:J69"/>
    <mergeCell ref="L69:M69"/>
    <mergeCell ref="F70:G70"/>
    <mergeCell ref="I70:J70"/>
    <mergeCell ref="L70:M70"/>
    <mergeCell ref="F71:G71"/>
    <mergeCell ref="H71:J71"/>
    <mergeCell ref="AF63:AH63"/>
    <mergeCell ref="J86:K86"/>
    <mergeCell ref="E91:F91"/>
    <mergeCell ref="G83:I83"/>
    <mergeCell ref="J83:L83"/>
    <mergeCell ref="L76:M76"/>
    <mergeCell ref="J76:K76"/>
    <mergeCell ref="A1:M1"/>
    <mergeCell ref="A98:M98"/>
    <mergeCell ref="A6:C6"/>
    <mergeCell ref="D10:F10"/>
    <mergeCell ref="D84:F84"/>
    <mergeCell ref="G82:I82"/>
    <mergeCell ref="G84:I84"/>
    <mergeCell ref="J84:L84"/>
    <mergeCell ref="A2:E2"/>
    <mergeCell ref="F18:G18"/>
    <mergeCell ref="G25:I25"/>
    <mergeCell ref="B28:C28"/>
    <mergeCell ref="A25:C25"/>
    <mergeCell ref="I28:J28"/>
    <mergeCell ref="L50:M50"/>
    <mergeCell ref="L13:M13"/>
    <mergeCell ref="F94:G94"/>
    <mergeCell ref="B40:C40"/>
    <mergeCell ref="A138:K138"/>
    <mergeCell ref="J80:L80"/>
    <mergeCell ref="J78:L78"/>
    <mergeCell ref="M130:N130"/>
    <mergeCell ref="G88:I88"/>
    <mergeCell ref="I127:J127"/>
    <mergeCell ref="I125:J125"/>
    <mergeCell ref="A10:C10"/>
    <mergeCell ref="I14:K14"/>
    <mergeCell ref="G15:H15"/>
    <mergeCell ref="G14:H14"/>
    <mergeCell ref="I15:K15"/>
    <mergeCell ref="L14:M14"/>
    <mergeCell ref="I13:K13"/>
    <mergeCell ref="A11:C11"/>
    <mergeCell ref="D11:E11"/>
    <mergeCell ref="M122:N122"/>
    <mergeCell ref="M123:N123"/>
    <mergeCell ref="M132:N132"/>
    <mergeCell ref="E129:F129"/>
    <mergeCell ref="H94:I94"/>
    <mergeCell ref="I123:J123"/>
    <mergeCell ref="G87:I87"/>
    <mergeCell ref="G122:H122"/>
    <mergeCell ref="D253:F253"/>
    <mergeCell ref="A256:C256"/>
    <mergeCell ref="D256:F256"/>
    <mergeCell ref="G123:H123"/>
    <mergeCell ref="G128:H128"/>
    <mergeCell ref="G127:H127"/>
    <mergeCell ref="G125:H125"/>
    <mergeCell ref="K126:L126"/>
    <mergeCell ref="K125:L125"/>
    <mergeCell ref="G124:H124"/>
    <mergeCell ref="I126:J126"/>
    <mergeCell ref="J199:K199"/>
    <mergeCell ref="A202:C202"/>
    <mergeCell ref="D202:E202"/>
    <mergeCell ref="H199:I199"/>
    <mergeCell ref="D201:E201"/>
    <mergeCell ref="I132:J132"/>
    <mergeCell ref="I133:J133"/>
    <mergeCell ref="C127:D127"/>
    <mergeCell ref="C126:D126"/>
    <mergeCell ref="G133:H133"/>
    <mergeCell ref="K133:L133"/>
    <mergeCell ref="C133:D133"/>
    <mergeCell ref="C124:D124"/>
    <mergeCell ref="A89:M89"/>
    <mergeCell ref="A97:C97"/>
    <mergeCell ref="C128:D128"/>
    <mergeCell ref="C125:D125"/>
    <mergeCell ref="E123:F123"/>
    <mergeCell ref="C129:D129"/>
    <mergeCell ref="K121:L121"/>
    <mergeCell ref="K128:L128"/>
    <mergeCell ref="K127:L127"/>
    <mergeCell ref="E121:F121"/>
    <mergeCell ref="E122:F122"/>
    <mergeCell ref="G121:H121"/>
    <mergeCell ref="I121:J121"/>
    <mergeCell ref="A91:D91"/>
    <mergeCell ref="A121:B121"/>
    <mergeCell ref="C121:D121"/>
    <mergeCell ref="A120:AB120"/>
    <mergeCell ref="T128:U128"/>
    <mergeCell ref="E127:F127"/>
    <mergeCell ref="E128:F128"/>
    <mergeCell ref="A44:C44"/>
    <mergeCell ref="D44:E44"/>
    <mergeCell ref="D83:F83"/>
    <mergeCell ref="L54:M54"/>
    <mergeCell ref="M125:N125"/>
    <mergeCell ref="L19:M19"/>
    <mergeCell ref="L46:M46"/>
    <mergeCell ref="D73:E73"/>
    <mergeCell ref="A73:C73"/>
    <mergeCell ref="D78:F78"/>
    <mergeCell ref="J45:K45"/>
    <mergeCell ref="J44:K44"/>
    <mergeCell ref="G45:I45"/>
    <mergeCell ref="G44:I44"/>
    <mergeCell ref="E90:F90"/>
    <mergeCell ref="L45:M45"/>
    <mergeCell ref="J82:L82"/>
    <mergeCell ref="M121:N121"/>
    <mergeCell ref="A75:C75"/>
    <mergeCell ref="L75:M75"/>
    <mergeCell ref="G76:I76"/>
    <mergeCell ref="A37:C37"/>
    <mergeCell ref="I122:J122"/>
    <mergeCell ref="A93:M93"/>
    <mergeCell ref="D37:E37"/>
    <mergeCell ref="G37:I37"/>
    <mergeCell ref="G24:I24"/>
    <mergeCell ref="I30:J30"/>
    <mergeCell ref="I29:J29"/>
    <mergeCell ref="J24:K24"/>
    <mergeCell ref="J25:K25"/>
    <mergeCell ref="F29:G29"/>
    <mergeCell ref="F28:G28"/>
    <mergeCell ref="I31:J31"/>
    <mergeCell ref="H32:J32"/>
    <mergeCell ref="B21:C21"/>
    <mergeCell ref="D25:E25"/>
    <mergeCell ref="D24:E24"/>
    <mergeCell ref="D22:E22"/>
    <mergeCell ref="A24:C24"/>
    <mergeCell ref="D34:E34"/>
    <mergeCell ref="B30:C30"/>
    <mergeCell ref="A33:C33"/>
    <mergeCell ref="A36:C36"/>
    <mergeCell ref="D35:E35"/>
    <mergeCell ref="D36:E36"/>
    <mergeCell ref="D23:E23"/>
    <mergeCell ref="A23:C23"/>
    <mergeCell ref="B29:C29"/>
    <mergeCell ref="B32:C32"/>
    <mergeCell ref="D33:E33"/>
    <mergeCell ref="A22:C22"/>
    <mergeCell ref="AK64:AL64"/>
    <mergeCell ref="F20:G20"/>
    <mergeCell ref="I20:J20"/>
    <mergeCell ref="F21:G21"/>
    <mergeCell ref="H21:J21"/>
    <mergeCell ref="I39:J39"/>
    <mergeCell ref="AF64:AH64"/>
    <mergeCell ref="AI63:AJ63"/>
    <mergeCell ref="AI64:AJ64"/>
    <mergeCell ref="I51:J51"/>
    <mergeCell ref="G52:I52"/>
    <mergeCell ref="G54:I54"/>
    <mergeCell ref="G53:I53"/>
    <mergeCell ref="G46:I46"/>
    <mergeCell ref="L49:M49"/>
    <mergeCell ref="L52:M52"/>
    <mergeCell ref="L48:M48"/>
    <mergeCell ref="F31:G31"/>
    <mergeCell ref="F30:G30"/>
    <mergeCell ref="L26:M26"/>
    <mergeCell ref="F40:G40"/>
    <mergeCell ref="F49:G49"/>
    <mergeCell ref="J52:K52"/>
    <mergeCell ref="L53:M53"/>
    <mergeCell ref="G78:I78"/>
    <mergeCell ref="G79:I79"/>
    <mergeCell ref="D81:F81"/>
    <mergeCell ref="J81:L81"/>
    <mergeCell ref="D26:E26"/>
    <mergeCell ref="G26:I26"/>
    <mergeCell ref="J26:K26"/>
    <mergeCell ref="I19:J19"/>
    <mergeCell ref="J36:K36"/>
    <mergeCell ref="J37:K37"/>
    <mergeCell ref="J79:L79"/>
    <mergeCell ref="G81:I81"/>
    <mergeCell ref="L74:M74"/>
    <mergeCell ref="L44:M44"/>
    <mergeCell ref="D77:F77"/>
    <mergeCell ref="D72:E72"/>
    <mergeCell ref="D52:E52"/>
    <mergeCell ref="L65:M65"/>
    <mergeCell ref="L63:M63"/>
    <mergeCell ref="L64:M64"/>
    <mergeCell ref="F67:G67"/>
    <mergeCell ref="I67:J67"/>
    <mergeCell ref="F68:G68"/>
    <mergeCell ref="I68:J68"/>
    <mergeCell ref="A77:C77"/>
    <mergeCell ref="AK63:AL63"/>
    <mergeCell ref="T122:U122"/>
    <mergeCell ref="A90:D90"/>
    <mergeCell ref="L88:M88"/>
    <mergeCell ref="D80:F80"/>
    <mergeCell ref="J77:L77"/>
    <mergeCell ref="G77:I77"/>
    <mergeCell ref="A74:C74"/>
    <mergeCell ref="D74:E74"/>
    <mergeCell ref="E85:F85"/>
    <mergeCell ref="D82:F82"/>
    <mergeCell ref="G86:I86"/>
    <mergeCell ref="G80:I80"/>
    <mergeCell ref="G74:I74"/>
    <mergeCell ref="J75:K75"/>
    <mergeCell ref="J74:K74"/>
    <mergeCell ref="D79:F79"/>
    <mergeCell ref="D76:E76"/>
    <mergeCell ref="G75:I75"/>
    <mergeCell ref="A76:C76"/>
    <mergeCell ref="A85:D85"/>
    <mergeCell ref="J88:K88"/>
    <mergeCell ref="G85:M85"/>
    <mergeCell ref="L86:M86"/>
    <mergeCell ref="A96:C96"/>
    <mergeCell ref="L87:M87"/>
    <mergeCell ref="J87:K87"/>
    <mergeCell ref="B71:C71"/>
    <mergeCell ref="D75:E75"/>
    <mergeCell ref="AF65:AH65"/>
    <mergeCell ref="AI65:AJ65"/>
    <mergeCell ref="J46:K46"/>
    <mergeCell ref="I48:J48"/>
    <mergeCell ref="J54:K54"/>
    <mergeCell ref="J53:K53"/>
    <mergeCell ref="AC62:AD62"/>
    <mergeCell ref="AA60:AB60"/>
    <mergeCell ref="Z61:AB61"/>
    <mergeCell ref="AC61:AD61"/>
    <mergeCell ref="D54:E54"/>
    <mergeCell ref="A52:C52"/>
    <mergeCell ref="AA57:AB57"/>
    <mergeCell ref="AC64:AD64"/>
    <mergeCell ref="B68:C68"/>
    <mergeCell ref="B69:C69"/>
    <mergeCell ref="AC63:AD63"/>
    <mergeCell ref="A72:C72"/>
    <mergeCell ref="AA59:AB59"/>
    <mergeCell ref="Z62:AB62"/>
    <mergeCell ref="D53:E53"/>
    <mergeCell ref="AE123:AF123"/>
    <mergeCell ref="AE124:AF124"/>
    <mergeCell ref="AE125:AF125"/>
    <mergeCell ref="AE126:AF126"/>
    <mergeCell ref="G132:H132"/>
    <mergeCell ref="K124:L124"/>
    <mergeCell ref="K130:L130"/>
    <mergeCell ref="M131:N131"/>
    <mergeCell ref="I130:J130"/>
    <mergeCell ref="K129:L129"/>
    <mergeCell ref="G131:H131"/>
    <mergeCell ref="AE128:AF128"/>
    <mergeCell ref="AE127:AF127"/>
    <mergeCell ref="K123:L123"/>
    <mergeCell ref="M124:N124"/>
    <mergeCell ref="I128:J128"/>
    <mergeCell ref="G129:H129"/>
    <mergeCell ref="G130:H130"/>
    <mergeCell ref="I129:J129"/>
    <mergeCell ref="K132:L132"/>
    <mergeCell ref="G126:H126"/>
    <mergeCell ref="I131:J131"/>
    <mergeCell ref="M128:N128"/>
    <mergeCell ref="P122:R122"/>
    <mergeCell ref="C131:D131"/>
    <mergeCell ref="K131:L131"/>
    <mergeCell ref="E133:F133"/>
    <mergeCell ref="M133:N133"/>
    <mergeCell ref="A122:B122"/>
    <mergeCell ref="M127:N127"/>
    <mergeCell ref="E130:F130"/>
    <mergeCell ref="E131:F131"/>
    <mergeCell ref="E132:F132"/>
    <mergeCell ref="E124:F124"/>
    <mergeCell ref="E125:F125"/>
    <mergeCell ref="K122:L122"/>
    <mergeCell ref="C132:D132"/>
    <mergeCell ref="A128:B128"/>
    <mergeCell ref="C122:D122"/>
    <mergeCell ref="M126:N126"/>
    <mergeCell ref="M129:N129"/>
    <mergeCell ref="C130:D130"/>
    <mergeCell ref="I124:J124"/>
    <mergeCell ref="C123:D123"/>
    <mergeCell ref="E126:F126"/>
    <mergeCell ref="I195:J195"/>
    <mergeCell ref="D197:M197"/>
    <mergeCell ref="A195:F195"/>
    <mergeCell ref="G195:H195"/>
    <mergeCell ref="A193:C193"/>
    <mergeCell ref="G193:H193"/>
    <mergeCell ref="A194:C194"/>
    <mergeCell ref="K193:L193"/>
    <mergeCell ref="M191:N191"/>
    <mergeCell ref="D192:F192"/>
    <mergeCell ref="G192:H192"/>
    <mergeCell ref="M195:N195"/>
    <mergeCell ref="A245:M245"/>
    <mergeCell ref="A247:C247"/>
    <mergeCell ref="A234:M234"/>
    <mergeCell ref="A221:B221"/>
    <mergeCell ref="A220:E220"/>
    <mergeCell ref="A263:M263"/>
    <mergeCell ref="A230:B230"/>
    <mergeCell ref="A229:B229"/>
    <mergeCell ref="A248:C248"/>
    <mergeCell ref="A233:C233"/>
    <mergeCell ref="A232:C232"/>
    <mergeCell ref="A225:B225"/>
    <mergeCell ref="A224:B224"/>
    <mergeCell ref="I221:L221"/>
    <mergeCell ref="I222:K222"/>
    <mergeCell ref="A223:B223"/>
    <mergeCell ref="A228:B228"/>
    <mergeCell ref="D233:E233"/>
    <mergeCell ref="D232:E232"/>
    <mergeCell ref="A227:B227"/>
    <mergeCell ref="A257:M257"/>
    <mergeCell ref="A251:M251"/>
    <mergeCell ref="A254:M254"/>
    <mergeCell ref="A253:C253"/>
    <mergeCell ref="A226:B226"/>
    <mergeCell ref="K178:L178"/>
    <mergeCell ref="A172:M172"/>
    <mergeCell ref="G188:H188"/>
    <mergeCell ref="K187:L187"/>
    <mergeCell ref="M187:N187"/>
    <mergeCell ref="M186:N186"/>
    <mergeCell ref="I186:J186"/>
    <mergeCell ref="D189:F189"/>
    <mergeCell ref="K188:L188"/>
    <mergeCell ref="I188:J188"/>
    <mergeCell ref="A192:C192"/>
    <mergeCell ref="D194:F194"/>
    <mergeCell ref="M193:N193"/>
    <mergeCell ref="H201:I201"/>
    <mergeCell ref="J202:K202"/>
    <mergeCell ref="A201:C201"/>
    <mergeCell ref="A200:C200"/>
    <mergeCell ref="F200:G200"/>
    <mergeCell ref="F201:G201"/>
    <mergeCell ref="H200:I200"/>
    <mergeCell ref="L200:M200"/>
    <mergeCell ref="L201:M201"/>
    <mergeCell ref="L202:M202"/>
    <mergeCell ref="A12:M12"/>
    <mergeCell ref="G13:H13"/>
    <mergeCell ref="L15:M15"/>
    <mergeCell ref="B70:C70"/>
    <mergeCell ref="AK65:AL65"/>
    <mergeCell ref="F32:G32"/>
    <mergeCell ref="B31:C31"/>
    <mergeCell ref="L37:M37"/>
    <mergeCell ref="L35:M35"/>
    <mergeCell ref="F51:G51"/>
    <mergeCell ref="Z64:AB64"/>
    <mergeCell ref="A53:C53"/>
    <mergeCell ref="AA58:AB58"/>
    <mergeCell ref="A43:C43"/>
    <mergeCell ref="I40:J40"/>
    <mergeCell ref="F39:G39"/>
    <mergeCell ref="L29:M29"/>
    <mergeCell ref="L30:M30"/>
    <mergeCell ref="L36:M36"/>
    <mergeCell ref="G36:I36"/>
    <mergeCell ref="L20:M20"/>
    <mergeCell ref="L24:M24"/>
    <mergeCell ref="L25:M25"/>
    <mergeCell ref="G35:I35"/>
    <mergeCell ref="D4:E4"/>
    <mergeCell ref="D6:E6"/>
    <mergeCell ref="A9:E9"/>
    <mergeCell ref="A3:C5"/>
    <mergeCell ref="D3:E3"/>
    <mergeCell ref="D7:E7"/>
    <mergeCell ref="A8:E8"/>
    <mergeCell ref="A7:C7"/>
    <mergeCell ref="D5:E5"/>
    <mergeCell ref="A219:M219"/>
    <mergeCell ref="A222:B222"/>
    <mergeCell ref="H220:I220"/>
    <mergeCell ref="F220:G220"/>
    <mergeCell ref="A203:R203"/>
    <mergeCell ref="J201:K201"/>
    <mergeCell ref="F202:G202"/>
    <mergeCell ref="O179:P179"/>
    <mergeCell ref="D200:E200"/>
    <mergeCell ref="H202:I202"/>
    <mergeCell ref="K191:L191"/>
    <mergeCell ref="D199:E199"/>
    <mergeCell ref="A199:C199"/>
    <mergeCell ref="F199:G199"/>
    <mergeCell ref="I187:J187"/>
    <mergeCell ref="A184:C184"/>
    <mergeCell ref="D186:F186"/>
    <mergeCell ref="A189:C189"/>
    <mergeCell ref="A188:C188"/>
    <mergeCell ref="A191:F191"/>
    <mergeCell ref="G191:H191"/>
    <mergeCell ref="O190:P190"/>
    <mergeCell ref="M192:N192"/>
    <mergeCell ref="O192:P192"/>
    <mergeCell ref="F17:G17"/>
    <mergeCell ref="I17:J17"/>
    <mergeCell ref="I18:J18"/>
    <mergeCell ref="F19:G19"/>
    <mergeCell ref="B17:C17"/>
    <mergeCell ref="B18:C18"/>
    <mergeCell ref="B51:C51"/>
    <mergeCell ref="B50:C50"/>
    <mergeCell ref="B19:C19"/>
    <mergeCell ref="A35:C35"/>
    <mergeCell ref="A34:C34"/>
    <mergeCell ref="A26:C26"/>
    <mergeCell ref="B39:C39"/>
    <mergeCell ref="B20:C20"/>
    <mergeCell ref="J35:K35"/>
    <mergeCell ref="F50:G50"/>
    <mergeCell ref="A41:C41"/>
    <mergeCell ref="I50:J50"/>
    <mergeCell ref="A42:C42"/>
    <mergeCell ref="I49:J49"/>
    <mergeCell ref="F48:G48"/>
    <mergeCell ref="D42:E42"/>
    <mergeCell ref="D41:E41"/>
    <mergeCell ref="D43:E43"/>
    <mergeCell ref="A45:C45"/>
    <mergeCell ref="D45:E45"/>
    <mergeCell ref="AA56:AB56"/>
    <mergeCell ref="Z63:AB63"/>
    <mergeCell ref="B67:C67"/>
    <mergeCell ref="Z65:AB65"/>
    <mergeCell ref="AC65:AD65"/>
    <mergeCell ref="A54:C54"/>
    <mergeCell ref="B48:C48"/>
    <mergeCell ref="B49:C49"/>
    <mergeCell ref="B56:C56"/>
    <mergeCell ref="F56:G56"/>
    <mergeCell ref="I56:J56"/>
    <mergeCell ref="B57:C57"/>
    <mergeCell ref="F57:G57"/>
    <mergeCell ref="I57:J57"/>
    <mergeCell ref="B58:C58"/>
    <mergeCell ref="F58:G58"/>
    <mergeCell ref="I58:J58"/>
    <mergeCell ref="L58:M58"/>
    <mergeCell ref="B59:C59"/>
    <mergeCell ref="F59:G59"/>
    <mergeCell ref="I59:J59"/>
    <mergeCell ref="L59:M59"/>
    <mergeCell ref="K190:L190"/>
    <mergeCell ref="K194:L194"/>
    <mergeCell ref="M194:N194"/>
    <mergeCell ref="O191:P191"/>
    <mergeCell ref="O194:P194"/>
    <mergeCell ref="O193:P193"/>
    <mergeCell ref="D193:F193"/>
    <mergeCell ref="G194:H194"/>
    <mergeCell ref="M188:N188"/>
    <mergeCell ref="D188:F188"/>
    <mergeCell ref="A190:F190"/>
    <mergeCell ref="G190:H190"/>
    <mergeCell ref="I194:J194"/>
    <mergeCell ref="I192:J192"/>
    <mergeCell ref="M189:N189"/>
    <mergeCell ref="O189:P189"/>
    <mergeCell ref="I193:J193"/>
    <mergeCell ref="M190:N190"/>
    <mergeCell ref="O195:P195"/>
    <mergeCell ref="K195:L195"/>
    <mergeCell ref="J200:K200"/>
    <mergeCell ref="K192:L192"/>
    <mergeCell ref="I191:J191"/>
    <mergeCell ref="L199:M199"/>
    <mergeCell ref="L198:M198"/>
    <mergeCell ref="G179:H179"/>
    <mergeCell ref="G189:H189"/>
    <mergeCell ref="I189:J189"/>
    <mergeCell ref="K189:L189"/>
    <mergeCell ref="I190:J190"/>
    <mergeCell ref="O186:P186"/>
    <mergeCell ref="O187:P187"/>
    <mergeCell ref="G183:H183"/>
    <mergeCell ref="H198:I198"/>
    <mergeCell ref="A196:M196"/>
    <mergeCell ref="A197:C198"/>
    <mergeCell ref="D198:E198"/>
    <mergeCell ref="F198:G198"/>
    <mergeCell ref="J198:K198"/>
    <mergeCell ref="A185:C185"/>
    <mergeCell ref="D185:F185"/>
    <mergeCell ref="A180:C180"/>
    <mergeCell ref="K179:L179"/>
    <mergeCell ref="G185:H185"/>
    <mergeCell ref="M179:N179"/>
    <mergeCell ref="I183:J183"/>
    <mergeCell ref="O188:P188"/>
    <mergeCell ref="K184:L184"/>
    <mergeCell ref="O181:P181"/>
    <mergeCell ref="K185:L185"/>
    <mergeCell ref="M183:N183"/>
    <mergeCell ref="O182:P182"/>
    <mergeCell ref="K182:L182"/>
    <mergeCell ref="G186:H186"/>
    <mergeCell ref="O183:P183"/>
    <mergeCell ref="G182:H182"/>
    <mergeCell ref="I182:J182"/>
    <mergeCell ref="O184:P184"/>
    <mergeCell ref="G187:H187"/>
    <mergeCell ref="M184:N184"/>
    <mergeCell ref="G184:H184"/>
    <mergeCell ref="I184:J184"/>
    <mergeCell ref="K186:L186"/>
    <mergeCell ref="A181:C181"/>
    <mergeCell ref="O185:P185"/>
    <mergeCell ref="D187:F187"/>
    <mergeCell ref="A183:C183"/>
    <mergeCell ref="D184:F184"/>
    <mergeCell ref="A186:C186"/>
    <mergeCell ref="A187:C187"/>
    <mergeCell ref="D179:F179"/>
    <mergeCell ref="D180:F180"/>
    <mergeCell ref="I179:J179"/>
    <mergeCell ref="I185:J185"/>
    <mergeCell ref="G181:H181"/>
    <mergeCell ref="D182:F182"/>
    <mergeCell ref="I181:J181"/>
    <mergeCell ref="M185:N185"/>
    <mergeCell ref="K183:L183"/>
    <mergeCell ref="D181:F181"/>
    <mergeCell ref="K181:L181"/>
    <mergeCell ref="M181:N181"/>
    <mergeCell ref="M182:N182"/>
    <mergeCell ref="D183:F183"/>
    <mergeCell ref="I180:J180"/>
    <mergeCell ref="G180:H180"/>
    <mergeCell ref="M180:N180"/>
    <mergeCell ref="S207:T207"/>
    <mergeCell ref="U205:V205"/>
    <mergeCell ref="S206:T206"/>
    <mergeCell ref="W205:Z205"/>
    <mergeCell ref="H236:N236"/>
    <mergeCell ref="H237:H238"/>
    <mergeCell ref="A139:F139"/>
    <mergeCell ref="G139:K139"/>
    <mergeCell ref="O178:P178"/>
    <mergeCell ref="M178:N178"/>
    <mergeCell ref="E176:G176"/>
    <mergeCell ref="A178:F178"/>
    <mergeCell ref="A176:B176"/>
    <mergeCell ref="F173:G173"/>
    <mergeCell ref="A173:D173"/>
    <mergeCell ref="I178:J178"/>
    <mergeCell ref="E175:G175"/>
    <mergeCell ref="J173:M173"/>
    <mergeCell ref="O180:P180"/>
    <mergeCell ref="K180:L180"/>
    <mergeCell ref="G178:H178"/>
    <mergeCell ref="A175:B175"/>
    <mergeCell ref="A179:C179"/>
    <mergeCell ref="A182:C182"/>
    <mergeCell ref="B60:C60"/>
    <mergeCell ref="F60:G60"/>
    <mergeCell ref="H60:J60"/>
    <mergeCell ref="A61:C61"/>
    <mergeCell ref="D61:E61"/>
    <mergeCell ref="A65:C65"/>
    <mergeCell ref="D65:E65"/>
    <mergeCell ref="G65:I65"/>
    <mergeCell ref="J65:K65"/>
    <mergeCell ref="A62:C62"/>
    <mergeCell ref="D62:E62"/>
    <mergeCell ref="A63:C63"/>
    <mergeCell ref="D63:E63"/>
    <mergeCell ref="G63:I63"/>
    <mergeCell ref="J63:K63"/>
    <mergeCell ref="A64:C64"/>
    <mergeCell ref="D64:E64"/>
    <mergeCell ref="G64:I64"/>
    <mergeCell ref="J64:K64"/>
  </mergeCells>
  <phoneticPr fontId="2"/>
  <pageMargins left="0.4" right="0.38" top="0.4" bottom="0.35" header="0.3" footer="0.3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B1:AK12"/>
  <sheetViews>
    <sheetView topLeftCell="I1" workbookViewId="0">
      <selection activeCell="F25" sqref="F25:G25"/>
    </sheetView>
  </sheetViews>
  <sheetFormatPr defaultRowHeight="12.75" x14ac:dyDescent="0.2"/>
  <cols>
    <col min="2" max="31" width="6.7109375" customWidth="1"/>
  </cols>
  <sheetData>
    <row r="1" spans="2:37" x14ac:dyDescent="0.2">
      <c r="B1" t="s">
        <v>484</v>
      </c>
      <c r="D1" t="s">
        <v>485</v>
      </c>
    </row>
    <row r="2" spans="2:37" x14ac:dyDescent="0.2">
      <c r="B2" t="s">
        <v>487</v>
      </c>
      <c r="C2" t="s">
        <v>488</v>
      </c>
      <c r="D2" t="s">
        <v>486</v>
      </c>
      <c r="E2" t="s">
        <v>489</v>
      </c>
      <c r="F2" t="s">
        <v>490</v>
      </c>
      <c r="G2" t="s">
        <v>491</v>
      </c>
      <c r="J2" t="s">
        <v>487</v>
      </c>
      <c r="K2" t="s">
        <v>492</v>
      </c>
    </row>
    <row r="3" spans="2:37" x14ac:dyDescent="0.2">
      <c r="B3">
        <f>ROUND('Result_重量床衝撃音 (31.5Hz)'!L8,1)</f>
        <v>20</v>
      </c>
      <c r="C3">
        <f>'Result_重量床衝撃音 (31.5Hz)'!L10</f>
        <v>2500</v>
      </c>
      <c r="D3" t="str">
        <f>IF(Calculation!Q13=1,"RC",IF(Calculation!Q13=4,"RC",IF(Calculation!Q13=6,"SVS",IF(Calculation!Q13=7,"SVS",""))))</f>
        <v>SVS</v>
      </c>
      <c r="E3">
        <f>'Result_重量床衝撃音 (31.5Hz)'!D9</f>
        <v>140</v>
      </c>
      <c r="F3">
        <f>ROUND('Result_重量床衝撃音 (31.5Hz)'!D10,0)</f>
        <v>147</v>
      </c>
      <c r="G3">
        <f>ROUND('Result_重量床衝撃音 (31.5Hz)'!E11/1000,1)</f>
        <v>8</v>
      </c>
      <c r="H3" s="10" t="s">
        <v>493</v>
      </c>
      <c r="I3">
        <f>ROUND('Result_重量床衝撃音 (31.5Hz)'!E12/1000,1)</f>
        <v>9</v>
      </c>
      <c r="J3">
        <f>ROUND('Result_重量床衝撃音 (31.5Hz)'!D13,1)</f>
        <v>72</v>
      </c>
      <c r="K3">
        <f>ROUND('Result_重量床衝撃音 (31.5Hz)'!D14,1)</f>
        <v>9</v>
      </c>
      <c r="L3" t="str">
        <f>'Result_重量床衝撃音 (31.5Hz)'!F14</f>
        <v>8Hz帯域</v>
      </c>
    </row>
    <row r="5" spans="2:37" x14ac:dyDescent="0.2">
      <c r="B5" t="s">
        <v>479</v>
      </c>
      <c r="M5" t="s">
        <v>478</v>
      </c>
      <c r="R5" t="s">
        <v>40</v>
      </c>
      <c r="W5" t="s">
        <v>41</v>
      </c>
      <c r="AB5" t="s">
        <v>42</v>
      </c>
      <c r="AG5" t="s">
        <v>43</v>
      </c>
    </row>
    <row r="6" spans="2:37" x14ac:dyDescent="0.2">
      <c r="B6" t="s">
        <v>474</v>
      </c>
      <c r="C6" t="s">
        <v>480</v>
      </c>
      <c r="D6" t="s">
        <v>481</v>
      </c>
      <c r="E6" t="s">
        <v>482</v>
      </c>
      <c r="F6" t="s">
        <v>14</v>
      </c>
      <c r="M6" t="s">
        <v>474</v>
      </c>
      <c r="N6" t="s">
        <v>480</v>
      </c>
      <c r="O6" t="s">
        <v>481</v>
      </c>
      <c r="P6" t="s">
        <v>482</v>
      </c>
      <c r="Q6" t="s">
        <v>14</v>
      </c>
      <c r="R6" t="s">
        <v>474</v>
      </c>
      <c r="S6" t="s">
        <v>480</v>
      </c>
      <c r="T6" t="s">
        <v>481</v>
      </c>
      <c r="U6" t="s">
        <v>482</v>
      </c>
      <c r="V6" t="s">
        <v>14</v>
      </c>
      <c r="W6" t="s">
        <v>474</v>
      </c>
      <c r="X6" t="s">
        <v>480</v>
      </c>
      <c r="Y6" t="s">
        <v>481</v>
      </c>
      <c r="Z6" t="s">
        <v>482</v>
      </c>
      <c r="AA6" t="s">
        <v>14</v>
      </c>
      <c r="AB6" t="s">
        <v>474</v>
      </c>
      <c r="AC6" t="s">
        <v>480</v>
      </c>
      <c r="AD6" t="s">
        <v>481</v>
      </c>
      <c r="AE6" t="s">
        <v>482</v>
      </c>
      <c r="AF6" t="s">
        <v>14</v>
      </c>
      <c r="AG6" t="s">
        <v>474</v>
      </c>
      <c r="AH6" t="s">
        <v>480</v>
      </c>
      <c r="AI6" t="s">
        <v>481</v>
      </c>
      <c r="AJ6" t="s">
        <v>482</v>
      </c>
      <c r="AK6" t="s">
        <v>14</v>
      </c>
    </row>
    <row r="7" spans="2:37" x14ac:dyDescent="0.2">
      <c r="B7" t="str">
        <f>'Result_重量床衝撃音 (31.5Hz)'!F43</f>
        <v/>
      </c>
      <c r="C7" t="str">
        <f>'Result_重量床衝撃音 (31.5Hz)'!H43</f>
        <v/>
      </c>
      <c r="D7" t="str">
        <f>'Result_重量床衝撃音 (31.5Hz)'!J43</f>
        <v/>
      </c>
      <c r="E7" t="str">
        <f>'Result_重量床衝撃音 (31.5Hz)'!L43</f>
        <v/>
      </c>
      <c r="F7" t="str">
        <f>'Result_重量床衝撃音 (31.5Hz)'!N43</f>
        <v/>
      </c>
      <c r="M7" t="e">
        <f>'Result_重量床衝撃音 (31.5Hz)'!F38</f>
        <v>#REF!</v>
      </c>
      <c r="N7" t="str">
        <f>'Result_重量床衝撃音 (31.5Hz)'!H38</f>
        <v/>
      </c>
      <c r="O7" t="str">
        <f>'Result_重量床衝撃音 (31.5Hz)'!J38</f>
        <v/>
      </c>
      <c r="P7" t="str">
        <f>'Result_重量床衝撃音 (31.5Hz)'!L38</f>
        <v/>
      </c>
      <c r="Q7" t="str">
        <f>'Result_重量床衝撃音 (31.5Hz)'!N38</f>
        <v/>
      </c>
      <c r="R7" t="e">
        <f>'Result_重量床衝撃音 (31.5Hz)'!F39</f>
        <v>#REF!</v>
      </c>
      <c r="S7" t="str">
        <f>'Result_重量床衝撃音 (31.5Hz)'!H39</f>
        <v/>
      </c>
      <c r="T7" t="str">
        <f>'Result_重量床衝撃音 (31.5Hz)'!J39</f>
        <v/>
      </c>
      <c r="U7" t="str">
        <f>'Result_重量床衝撃音 (31.5Hz)'!L39</f>
        <v/>
      </c>
      <c r="V7" t="str">
        <f>'Result_重量床衝撃音 (31.5Hz)'!N39</f>
        <v/>
      </c>
      <c r="W7" t="e">
        <f>'Result_重量床衝撃音 (31.5Hz)'!F40</f>
        <v>#REF!</v>
      </c>
      <c r="X7" t="e">
        <f>'Result_重量床衝撃音 (31.5Hz)'!H40</f>
        <v>#VALUE!</v>
      </c>
      <c r="Y7" t="e">
        <f>'Result_重量床衝撃音 (31.5Hz)'!J40</f>
        <v>#VALUE!</v>
      </c>
      <c r="Z7" t="e">
        <f>'Result_重量床衝撃音 (31.5Hz)'!L40</f>
        <v>#VALUE!</v>
      </c>
      <c r="AA7" t="e">
        <f>'Result_重量床衝撃音 (31.5Hz)'!N40</f>
        <v>#VALUE!</v>
      </c>
      <c r="AB7" t="e">
        <f>'Result_重量床衝撃音 (31.5Hz)'!F41</f>
        <v>#REF!</v>
      </c>
      <c r="AC7" t="e">
        <f>'Result_重量床衝撃音 (31.5Hz)'!H41</f>
        <v>#VALUE!</v>
      </c>
      <c r="AD7" t="e">
        <f>'Result_重量床衝撃音 (31.5Hz)'!J41</f>
        <v>#VALUE!</v>
      </c>
      <c r="AE7" t="e">
        <f>'Result_重量床衝撃音 (31.5Hz)'!L41</f>
        <v>#VALUE!</v>
      </c>
      <c r="AF7" t="e">
        <f>'Result_重量床衝撃音 (31.5Hz)'!N41</f>
        <v>#VALUE!</v>
      </c>
      <c r="AG7" t="e">
        <f>'Result_重量床衝撃音 (31.5Hz)'!F42</f>
        <v>#REF!</v>
      </c>
      <c r="AH7" t="e">
        <f>'Result_重量床衝撃音 (31.5Hz)'!H42</f>
        <v>#VALUE!</v>
      </c>
      <c r="AI7" t="e">
        <f>'Result_重量床衝撃音 (31.5Hz)'!J42</f>
        <v>#VALUE!</v>
      </c>
      <c r="AJ7" t="e">
        <f>'Result_重量床衝撃音 (31.5Hz)'!L42</f>
        <v>#VALUE!</v>
      </c>
      <c r="AK7" t="e">
        <f>'Result_重量床衝撃音 (31.5Hz)'!N42</f>
        <v>#VALUE!</v>
      </c>
    </row>
    <row r="9" spans="2:37" x14ac:dyDescent="0.2">
      <c r="B9" s="10" t="s">
        <v>483</v>
      </c>
    </row>
    <row r="10" spans="2:37" x14ac:dyDescent="0.2">
      <c r="B10" t="s">
        <v>478</v>
      </c>
      <c r="G10" t="s">
        <v>40</v>
      </c>
      <c r="L10" t="s">
        <v>41</v>
      </c>
      <c r="Q10" t="s">
        <v>42</v>
      </c>
      <c r="V10" t="s">
        <v>43</v>
      </c>
    </row>
    <row r="11" spans="2:37" x14ac:dyDescent="0.2">
      <c r="B11" t="s">
        <v>474</v>
      </c>
      <c r="C11" t="s">
        <v>480</v>
      </c>
      <c r="D11" t="s">
        <v>481</v>
      </c>
      <c r="E11" t="s">
        <v>482</v>
      </c>
      <c r="F11" t="s">
        <v>14</v>
      </c>
      <c r="G11" t="s">
        <v>474</v>
      </c>
      <c r="H11" t="s">
        <v>480</v>
      </c>
      <c r="I11" t="s">
        <v>481</v>
      </c>
      <c r="J11" t="s">
        <v>482</v>
      </c>
      <c r="K11" t="s">
        <v>14</v>
      </c>
      <c r="L11" t="s">
        <v>474</v>
      </c>
      <c r="M11" t="s">
        <v>480</v>
      </c>
      <c r="N11" t="s">
        <v>481</v>
      </c>
      <c r="O11" t="s">
        <v>482</v>
      </c>
      <c r="P11" t="s">
        <v>14</v>
      </c>
      <c r="Q11" t="s">
        <v>474</v>
      </c>
      <c r="R11" t="s">
        <v>480</v>
      </c>
      <c r="S11" t="s">
        <v>481</v>
      </c>
      <c r="T11" t="s">
        <v>482</v>
      </c>
      <c r="U11" t="s">
        <v>14</v>
      </c>
      <c r="V11" t="s">
        <v>474</v>
      </c>
      <c r="W11" t="s">
        <v>480</v>
      </c>
      <c r="X11" t="s">
        <v>481</v>
      </c>
      <c r="Y11" t="s">
        <v>482</v>
      </c>
      <c r="Z11" t="s">
        <v>14</v>
      </c>
    </row>
    <row r="12" spans="2:37" x14ac:dyDescent="0.2">
      <c r="B12" t="str">
        <f>'Result_重量床衝撃音 (31.5Hz)'!F20</f>
        <v/>
      </c>
      <c r="C12" t="str">
        <f>'Result_重量床衝撃音 (31.5Hz)'!H20</f>
        <v/>
      </c>
      <c r="D12" t="str">
        <f>'Result_重量床衝撃音 (31.5Hz)'!J20</f>
        <v/>
      </c>
      <c r="E12" t="str">
        <f>'Result_重量床衝撃音 (31.5Hz)'!L20</f>
        <v/>
      </c>
      <c r="F12" t="str">
        <f>'Result_重量床衝撃音 (31.5Hz)'!N20</f>
        <v/>
      </c>
      <c r="G12" t="str">
        <f>'Result_重量床衝撃音 (31.5Hz)'!F21</f>
        <v/>
      </c>
      <c r="H12" t="str">
        <f>'Result_重量床衝撃音 (31.5Hz)'!H21</f>
        <v/>
      </c>
      <c r="I12" t="str">
        <f>'Result_重量床衝撃音 (31.5Hz)'!J21</f>
        <v/>
      </c>
      <c r="J12" t="str">
        <f>'Result_重量床衝撃音 (31.5Hz)'!L21</f>
        <v/>
      </c>
      <c r="K12" t="str">
        <f>'Result_重量床衝撃音 (31.5Hz)'!N21</f>
        <v/>
      </c>
      <c r="L12">
        <f>'Result_重量床衝撃音 (31.5Hz)'!F22</f>
        <v>3.9911598062910505</v>
      </c>
      <c r="M12">
        <f>'Result_重量床衝撃音 (31.5Hz)'!H22</f>
        <v>1.9383415747557446</v>
      </c>
      <c r="N12">
        <f>'Result_重量床衝撃音 (31.5Hz)'!J22</f>
        <v>0.62189329785146441</v>
      </c>
      <c r="O12">
        <f>'Result_重量床衝撃音 (31.5Hz)'!L22</f>
        <v>0</v>
      </c>
      <c r="P12">
        <f>'Result_重量床衝撃音 (31.5Hz)'!N22</f>
        <v>0</v>
      </c>
      <c r="Q12">
        <f>'Result_重量床衝撃音 (31.5Hz)'!F23</f>
        <v>5.7769410324338537</v>
      </c>
      <c r="R12">
        <f>'Result_重量床衝撃音 (31.5Hz)'!H23</f>
        <v>4.6926469489744989</v>
      </c>
      <c r="S12">
        <f>'Result_重量床衝撃音 (31.5Hz)'!J23</f>
        <v>3.3984768035171005</v>
      </c>
      <c r="T12">
        <f>'Result_重量床衝撃音 (31.5Hz)'!L23</f>
        <v>1.954960694261219</v>
      </c>
      <c r="U12">
        <f>'Result_重量床衝撃音 (31.5Hz)'!N23</f>
        <v>0.62189329785146441</v>
      </c>
      <c r="V12">
        <f>'Result_重量床衝撃音 (31.5Hz)'!F24</f>
        <v>1.6944399248739686</v>
      </c>
      <c r="W12">
        <f>'Result_重量床衝撃音 (31.5Hz)'!H24</f>
        <v>0.42441392664335353</v>
      </c>
      <c r="X12">
        <f>'Result_重量床衝撃音 (31.5Hz)'!J24</f>
        <v>0</v>
      </c>
      <c r="Y12">
        <f>'Result_重量床衝撃音 (31.5Hz)'!L24</f>
        <v>0</v>
      </c>
      <c r="Z12">
        <f>'Result_重量床衝撃音 (31.5Hz)'!N24</f>
        <v>0</v>
      </c>
    </row>
  </sheetData>
  <sheetProtection algorithmName="SHA-512" hashValue="jipSYOPd7aoRUs+J8X4ITA+2j9FncmHIYj6YZIKEzKQ9HnWEiHM8rf+SAmWdzn5a7OtTW1xqldnL4gQyMFa6Yw==" saltValue="t8w/bcNVu2A8X8g2eB1z9A==" spinCount="100000" sheet="1" objects="1" scenarios="1" selectLockedCells="1" selectUnlockedCell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INPUT</vt:lpstr>
      <vt:lpstr>Result_重量床衝撃音</vt:lpstr>
      <vt:lpstr>Result_軽量床衝撃音</vt:lpstr>
      <vt:lpstr>スラブ断面の例</vt:lpstr>
      <vt:lpstr>Result_重量床衝撃音（範囲設定なし）</vt:lpstr>
      <vt:lpstr>データ整理用 (2)</vt:lpstr>
      <vt:lpstr>Result_重量床衝撃音 (31.5Hz)</vt:lpstr>
      <vt:lpstr>Calculation</vt:lpstr>
      <vt:lpstr>データ整理用</vt:lpstr>
      <vt:lpstr>GRAPH</vt:lpstr>
      <vt:lpstr>断面性能算定シート(280)</vt:lpstr>
      <vt:lpstr>INPUT!Print_Area</vt:lpstr>
      <vt:lpstr>Result_軽量床衝撃音!Print_Area</vt:lpstr>
      <vt:lpstr>Result_重量床衝撃音!Print_Area</vt:lpstr>
      <vt:lpstr>'Result_重量床衝撃音 (31.5Hz)'!Print_Area</vt:lpstr>
      <vt:lpstr>'Result_重量床衝撃音（範囲設定なし）'!Print_Area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Imp_FISL_Calc ver.1.0.0</dc:title>
  <dc:creator>床衝撃音研究会</dc:creator>
  <cp:lastModifiedBy>熊谷組</cp:lastModifiedBy>
  <cp:lastPrinted>2012-07-02T02:40:06Z</cp:lastPrinted>
  <dcterms:created xsi:type="dcterms:W3CDTF">2005-06-10T07:59:17Z</dcterms:created>
  <dcterms:modified xsi:type="dcterms:W3CDTF">2023-01-25T09:36:35Z</dcterms:modified>
</cp:coreProperties>
</file>